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johnson\Downloads\"/>
    </mc:Choice>
  </mc:AlternateContent>
  <xr:revisionPtr revIDLastSave="0" documentId="13_ncr:1_{41CABA7C-0876-40FF-A89D-4E8ECD527CD2}" xr6:coauthVersionLast="47" xr6:coauthVersionMax="47" xr10:uidLastSave="{00000000-0000-0000-0000-000000000000}"/>
  <workbookProtection workbookAlgorithmName="SHA-512" workbookHashValue="JzcZQfOLpxf+Hm9fTlW/PMSyLMWxiTCYrXVmFrWk+52JbB+kaywZ9+5n78Vei9R5hEmSDFVCH03M3+qLLCU+Ow==" workbookSaltValue="aASQPoJ6WYzAx4Y4G9l/OQ==" workbookSpinCount="100000" lockStructure="1"/>
  <bookViews>
    <workbookView xWindow="26664" yWindow="840" windowWidth="18924" windowHeight="10908" firstSheet="1" activeTab="1" xr2:uid="{82092919-7CE7-47DB-9637-8698A9136D4F}"/>
  </bookViews>
  <sheets>
    <sheet name="Schedule" sheetId="1" state="hidden" r:id="rId1"/>
    <sheet name="Estimator" sheetId="4" r:id="rId2"/>
    <sheet name="Math" sheetId="5" state="hidden" r:id="rId3"/>
    <sheet name="Combined" sheetId="3" state="hidden" r:id="rId4"/>
    <sheet name="List" sheetId="2" state="hidden" r:id="rId5"/>
    <sheet name="Lolo W&amp;S" sheetId="6" state="hidden" r:id="rId6"/>
  </sheets>
  <definedNames>
    <definedName name="Category">Estimator!$C$14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 l="1"/>
  <c r="C4" i="6" s="1"/>
  <c r="E4" i="6"/>
  <c r="F4" i="6" s="1"/>
  <c r="E5" i="6"/>
  <c r="F5" i="6" s="1"/>
  <c r="B5" i="6"/>
  <c r="C5" i="6" s="1"/>
  <c r="F6" i="6" l="1"/>
  <c r="F7" i="6" s="1"/>
  <c r="F24" i="4" s="1"/>
  <c r="C6" i="6"/>
  <c r="C7" i="6" s="1"/>
  <c r="F22" i="4" s="1"/>
  <c r="B19" i="3"/>
  <c r="B11" i="3"/>
  <c r="B12" i="3"/>
  <c r="B13" i="3"/>
  <c r="B10" i="3"/>
  <c r="B156" i="1"/>
  <c r="B157" i="1"/>
  <c r="B158" i="1"/>
  <c r="B159" i="1"/>
  <c r="B160" i="1"/>
  <c r="B161" i="1"/>
  <c r="B162" i="1"/>
  <c r="B163" i="1"/>
  <c r="B164" i="1"/>
  <c r="B165" i="1"/>
  <c r="B166" i="1"/>
  <c r="B167" i="1"/>
  <c r="B168" i="1"/>
  <c r="B169" i="1"/>
  <c r="B155" i="1"/>
  <c r="B138" i="1"/>
  <c r="B139" i="1"/>
  <c r="B140" i="1"/>
  <c r="B141" i="1"/>
  <c r="B142" i="1"/>
  <c r="B143" i="1"/>
  <c r="B144" i="1"/>
  <c r="B145" i="1"/>
  <c r="B146" i="1"/>
  <c r="B147" i="1"/>
  <c r="B148" i="1"/>
  <c r="B149" i="1"/>
  <c r="B150" i="1"/>
  <c r="B151" i="1"/>
  <c r="B137" i="1"/>
  <c r="B133" i="1"/>
  <c r="B119" i="1"/>
  <c r="B82" i="1"/>
  <c r="B64" i="1"/>
  <c r="B96" i="1"/>
  <c r="B83" i="1"/>
  <c r="B84" i="1"/>
  <c r="B85" i="1"/>
  <c r="B86" i="1"/>
  <c r="B87" i="1"/>
  <c r="B88" i="1"/>
  <c r="B89" i="1"/>
  <c r="B90" i="1"/>
  <c r="B91" i="1"/>
  <c r="B92" i="1"/>
  <c r="B93" i="1"/>
  <c r="B94" i="1"/>
  <c r="B95" i="1"/>
  <c r="B65" i="1"/>
  <c r="B66" i="1"/>
  <c r="B67" i="1"/>
  <c r="B68" i="1"/>
  <c r="B69" i="1"/>
  <c r="B70" i="1"/>
  <c r="B71" i="1"/>
  <c r="B72" i="1"/>
  <c r="B73" i="1"/>
  <c r="B74" i="1"/>
  <c r="B75" i="1"/>
  <c r="B76" i="1"/>
  <c r="B77" i="1"/>
  <c r="B78" i="1"/>
  <c r="B46" i="1"/>
  <c r="B47" i="1"/>
  <c r="B48" i="1"/>
  <c r="B45" i="1"/>
  <c r="B41" i="1"/>
  <c r="B39" i="1"/>
  <c r="B40" i="1"/>
  <c r="B38" i="1"/>
  <c r="B5" i="5"/>
  <c r="B8" i="5"/>
  <c r="B2" i="5" l="1"/>
  <c r="J6" i="5"/>
  <c r="J9" i="5"/>
  <c r="J11" i="5"/>
  <c r="J14" i="5"/>
  <c r="J16" i="5"/>
  <c r="J19" i="5"/>
  <c r="J21" i="5"/>
  <c r="J24" i="5"/>
  <c r="J26" i="5"/>
  <c r="B24" i="5"/>
  <c r="B23" i="5"/>
  <c r="B19" i="5"/>
  <c r="B18" i="5"/>
  <c r="B14" i="5"/>
  <c r="B13" i="5"/>
  <c r="B9" i="5"/>
  <c r="B10" i="5" s="1"/>
  <c r="C10" i="5" s="1"/>
  <c r="E10" i="5" s="1"/>
  <c r="B4" i="5"/>
  <c r="E4" i="5" l="1"/>
  <c r="F10" i="5"/>
  <c r="B25" i="5"/>
  <c r="C25" i="5" s="1"/>
  <c r="E25" i="5" s="1"/>
  <c r="B20" i="5"/>
  <c r="C20" i="5" s="1"/>
  <c r="B15" i="5"/>
  <c r="B27" i="5"/>
  <c r="B3" i="5"/>
  <c r="D3" i="5" s="1"/>
  <c r="B17" i="5"/>
  <c r="C18" i="5" s="1"/>
  <c r="G18" i="5" s="1"/>
  <c r="B12" i="5"/>
  <c r="C13" i="5" s="1"/>
  <c r="B7" i="5"/>
  <c r="B22" i="5"/>
  <c r="C23" i="5" s="1"/>
  <c r="G23" i="5" s="1"/>
  <c r="G4" i="5"/>
  <c r="H4" i="5"/>
  <c r="I4" i="5"/>
  <c r="D4" i="5"/>
  <c r="F4" i="5"/>
  <c r="I3" i="5" l="1"/>
  <c r="E3" i="5"/>
  <c r="E5" i="5" s="1"/>
  <c r="B31" i="5"/>
  <c r="C15" i="5"/>
  <c r="B28" i="5"/>
  <c r="D25" i="5"/>
  <c r="G25" i="5"/>
  <c r="F25" i="5"/>
  <c r="G10" i="5"/>
  <c r="D10" i="5"/>
  <c r="F20" i="5"/>
  <c r="E20" i="5"/>
  <c r="G20" i="5"/>
  <c r="D20" i="5"/>
  <c r="G3" i="5"/>
  <c r="G5" i="5" s="1"/>
  <c r="D13" i="5"/>
  <c r="G13" i="5"/>
  <c r="C8" i="5"/>
  <c r="G8" i="5" s="1"/>
  <c r="B30" i="5"/>
  <c r="C17" i="5"/>
  <c r="G17" i="5" s="1"/>
  <c r="F3" i="5"/>
  <c r="F5" i="5" s="1"/>
  <c r="D5" i="5"/>
  <c r="I5" i="5"/>
  <c r="H3" i="5"/>
  <c r="H5" i="5" s="1"/>
  <c r="D23" i="5"/>
  <c r="E13" i="5"/>
  <c r="F13" i="5"/>
  <c r="D18" i="5"/>
  <c r="F18" i="5"/>
  <c r="E18" i="5"/>
  <c r="F23" i="5"/>
  <c r="J4" i="5"/>
  <c r="D17" i="5" l="1"/>
  <c r="J10" i="5"/>
  <c r="J25" i="5"/>
  <c r="I30" i="5"/>
  <c r="I31" i="5"/>
  <c r="F15" i="5"/>
  <c r="F28" i="5" s="1"/>
  <c r="F31" i="5" s="1"/>
  <c r="F16" i="4" s="1"/>
  <c r="G15" i="5"/>
  <c r="G28" i="5" s="1"/>
  <c r="G31" i="5" s="1"/>
  <c r="F18" i="4" s="1"/>
  <c r="D15" i="5"/>
  <c r="E15" i="5"/>
  <c r="E28" i="5" s="1"/>
  <c r="E31" i="5" s="1"/>
  <c r="F14" i="4" s="1"/>
  <c r="H30" i="5"/>
  <c r="H31" i="5"/>
  <c r="F20" i="4" s="1"/>
  <c r="J20" i="5"/>
  <c r="F8" i="5"/>
  <c r="D8" i="5"/>
  <c r="E8" i="5"/>
  <c r="C22" i="5"/>
  <c r="F22" i="5" s="1"/>
  <c r="J3" i="5"/>
  <c r="C12" i="5"/>
  <c r="F12" i="5" s="1"/>
  <c r="C7" i="5"/>
  <c r="E23" i="5"/>
  <c r="J23" i="5" s="1"/>
  <c r="J13" i="5"/>
  <c r="J18" i="5"/>
  <c r="F17" i="5"/>
  <c r="F26" i="4" l="1"/>
  <c r="F28" i="4" s="1"/>
  <c r="E7" i="5"/>
  <c r="J15" i="5"/>
  <c r="J28" i="5" s="1"/>
  <c r="D28" i="5"/>
  <c r="D31" i="5" s="1"/>
  <c r="J8" i="5"/>
  <c r="J5" i="5"/>
  <c r="D7" i="5"/>
  <c r="C27" i="5"/>
  <c r="F7" i="5"/>
  <c r="G7" i="5"/>
  <c r="E12" i="5"/>
  <c r="G12" i="5"/>
  <c r="D12" i="5"/>
  <c r="E17" i="5"/>
  <c r="D22" i="5"/>
  <c r="E22" i="5"/>
  <c r="G22" i="5"/>
  <c r="J31" i="5" l="1"/>
  <c r="J29" i="5"/>
  <c r="G27" i="5"/>
  <c r="G30" i="5" s="1"/>
  <c r="E27" i="5"/>
  <c r="E30" i="5" s="1"/>
  <c r="F27" i="5"/>
  <c r="F30" i="5" s="1"/>
  <c r="D27" i="5"/>
  <c r="D30" i="5" s="1"/>
  <c r="J7" i="5"/>
  <c r="J12" i="5"/>
  <c r="J17" i="5"/>
  <c r="J22" i="5"/>
  <c r="J27" i="5" l="1"/>
  <c r="J30" i="5" s="1"/>
  <c r="B33" i="3"/>
  <c r="B32" i="3"/>
  <c r="B31" i="3"/>
  <c r="B30" i="3"/>
  <c r="B29" i="3"/>
  <c r="B28" i="3"/>
  <c r="B27" i="3"/>
  <c r="B26" i="3"/>
  <c r="B25" i="3"/>
  <c r="B24" i="3"/>
  <c r="B23" i="3"/>
  <c r="B22" i="3"/>
  <c r="B21" i="3"/>
  <c r="B20" i="3"/>
  <c r="B101" i="1"/>
  <c r="B102" i="1"/>
  <c r="B103" i="1"/>
  <c r="B104" i="1"/>
  <c r="B105" i="1"/>
  <c r="B106" i="1"/>
  <c r="B107" i="1"/>
  <c r="B108" i="1"/>
  <c r="B109" i="1"/>
  <c r="B110" i="1"/>
  <c r="B111" i="1"/>
  <c r="B112" i="1"/>
  <c r="B113" i="1"/>
  <c r="B114" i="1"/>
  <c r="B120" i="1"/>
  <c r="B121" i="1"/>
  <c r="B122" i="1"/>
  <c r="B123" i="1"/>
  <c r="B124" i="1"/>
  <c r="B125" i="1"/>
  <c r="B126" i="1"/>
  <c r="B127" i="1"/>
  <c r="B128" i="1"/>
  <c r="B129" i="1"/>
  <c r="B130" i="1"/>
  <c r="B131" i="1"/>
  <c r="B132" i="1"/>
  <c r="B100" i="1"/>
</calcChain>
</file>

<file path=xl/sharedStrings.xml><?xml version="1.0" encoding="utf-8"?>
<sst xmlns="http://schemas.openxmlformats.org/spreadsheetml/2006/main" count="468" uniqueCount="184">
  <si>
    <r>
      <t xml:space="preserve">IMPACT FEE SCHEDULE
</t>
    </r>
    <r>
      <rPr>
        <b/>
        <sz val="11"/>
        <color rgb="FF395F6F"/>
        <rFont val="Avenir Next LT Pro"/>
        <family val="2"/>
      </rPr>
      <t>Effective October 1, 2025</t>
    </r>
    <r>
      <rPr>
        <sz val="11"/>
        <color rgb="FF395F6F"/>
        <rFont val="Avenir Next LT Pro"/>
        <family val="2"/>
      </rPr>
      <t xml:space="preserve">
Amended March 3, 2026</t>
    </r>
    <r>
      <rPr>
        <b/>
        <sz val="16"/>
        <color rgb="FF395F6F"/>
        <rFont val="Avenir Next LT Pro"/>
        <family val="2"/>
      </rPr>
      <t xml:space="preserve">
</t>
    </r>
    <r>
      <rPr>
        <sz val="11"/>
        <color rgb="FF395F6F"/>
        <rFont val="Avenir Next LT Pro"/>
        <family val="2"/>
      </rPr>
      <t>*does not include card processing fee if applicable</t>
    </r>
  </si>
  <si>
    <r>
      <t xml:space="preserve">PER RESOLUTION 2026-050 </t>
    </r>
    <r>
      <rPr>
        <sz val="16"/>
        <color rgb="FF395F6F"/>
        <rFont val="Avenir Next LT Pro"/>
        <family val="2"/>
      </rPr>
      <t>Impact fees apply to all new developments (commercial, industrial, institutional, office and residential).</t>
    </r>
  </si>
  <si>
    <t>• This includes new office buildings, new homes, building remodels and additions like studios, commercial storage facilities or other detached residential accessory structures. Greenhouses and barns and detached storage are not likely to generate impact and do not require impact fees.</t>
  </si>
  <si>
    <t>• In general, buildings or constructions that add an increased demand for services from government (like more administrative space, fire engines to respond to emergencies, trail maintenance for increased use due to population growth, etc).</t>
  </si>
  <si>
    <t>• Impact fee development categories are defined as follows:</t>
  </si>
  <si>
    <t>COMMERCIAL/
RETAIL</t>
  </si>
  <si>
    <t>Establishments primarily selling merchandise, eating/drinking places and services. Examples include retail uses: shopping centers, supermarkets, pharmacies, restaurants, bars, nightclubs, automobile dealerships. Services examples include movie theaters, repair, health clubs, beauty, hotels and motels. Corresponds to Institute of Transportation Engineers ITE (11th Edition) land uses 300-320, 810-971.</t>
  </si>
  <si>
    <t>INDUSTRIAL</t>
  </si>
  <si>
    <t>Establishments primarily engaged in the production, transportation or storage of goods. Examples include manufacturing plants, distribution warehouses, long-term storage, trucking and logistics. Also includes construction, utility, power generation facilities and telecommunications buildings. Corresponds to ITE (11th Edition) land uses 100-180.</t>
  </si>
  <si>
    <t>INSTITUTIONAL</t>
  </si>
  <si>
    <t>Establishments providing education and healthcare services. Examples include universities, nursing homes, daycare facilities and hospitals. Corresponds to ITE (11th Edition) land uses 520-650.</t>
  </si>
  <si>
    <t>OFFICE</t>
  </si>
  <si>
    <t>Establishments providing management, administrative, professional or business services. Examples include medical/dental offices and business offices. Corresponds to ITE (11th Edition) land uses 700-731.</t>
  </si>
  <si>
    <t>RESIDENTIAL</t>
  </si>
  <si>
    <t>Any building, structure use or development designed, intended or used as a dwelling unit or its accessory buildings, or that results in the expansion of a dwelling unit or units.</t>
  </si>
  <si>
    <t>• Development impact fees for Lolo Sewer and Water system facilities shall be imposed on new development proposed to connect to or require expanded service from the Lolo sewer and water systems.</t>
  </si>
  <si>
    <t>NON-RESIDENTIAL IMPACT FEES</t>
  </si>
  <si>
    <t>LOCATED WITHIN MISSOULA COUNTY - OUTSIDE FRENCHTOWN RURAL FIRE DISTRICT
*Fees are per 1,000 square feet</t>
  </si>
  <si>
    <t>CATEGORY</t>
  </si>
  <si>
    <t>TOTAL</t>
  </si>
  <si>
    <t>SHERIFF</t>
  </si>
  <si>
    <t>EMERGENCY 
MANAGEMENT</t>
  </si>
  <si>
    <t>Industrial</t>
  </si>
  <si>
    <t>Institutional</t>
  </si>
  <si>
    <t>Retail/Commercial</t>
  </si>
  <si>
    <t>Office</t>
  </si>
  <si>
    <t>LOCATED WITHIN FRENCHTOWN RURAL FIRE DISTRICT
*Fees are per 1,000 square feet</t>
  </si>
  <si>
    <t>FRENCHTOWN 
FIRE</t>
  </si>
  <si>
    <t>*For mixed used buildings - for example retail and office - please contact the Planning, Development &amp; Sustainability Department</t>
  </si>
  <si>
    <t>RESIDENTIAL IMPACT FEES</t>
  </si>
  <si>
    <t>LOCATED WITHIN BONNER SERVICE AREA</t>
  </si>
  <si>
    <t>SQUARE FOOTAGE</t>
  </si>
  <si>
    <t xml:space="preserve">SHERIFF </t>
  </si>
  <si>
    <t>TRANSPORTATION
SHARED USE PATHS</t>
  </si>
  <si>
    <r>
      <t xml:space="preserve">Residential </t>
    </r>
    <r>
      <rPr>
        <sz val="11"/>
        <color theme="1"/>
        <rFont val="Calibri"/>
        <family val="2"/>
      </rPr>
      <t>≤</t>
    </r>
    <r>
      <rPr>
        <sz val="11"/>
        <color theme="1"/>
        <rFont val="Calibri"/>
        <family val="2"/>
        <scheme val="minor"/>
      </rPr>
      <t>750</t>
    </r>
  </si>
  <si>
    <t>Residential 751-1000</t>
  </si>
  <si>
    <t>Residential 1001-1250</t>
  </si>
  <si>
    <t>Residential 1251-1500</t>
  </si>
  <si>
    <t>Residential 1501-1750</t>
  </si>
  <si>
    <t>Residential 1751-2000</t>
  </si>
  <si>
    <t>Residential 2001-2250</t>
  </si>
  <si>
    <t>Residential 2251-2500</t>
  </si>
  <si>
    <t>Residential 2501-2750</t>
  </si>
  <si>
    <t>Residential 2751-3000</t>
  </si>
  <si>
    <t>Residential 3001-3250</t>
  </si>
  <si>
    <t>Residential 3521-3500</t>
  </si>
  <si>
    <t>Residential 3501-3750</t>
  </si>
  <si>
    <t>Residential 3751-4000</t>
  </si>
  <si>
    <t>Residential 4001+</t>
  </si>
  <si>
    <t>LOCATED WITHIN CENTRAL MISSOULA SERVICE AREA</t>
  </si>
  <si>
    <t>LOCATED WITHIN FRENCHTOWN SERVICE AREA - OUTSIDE FRENCHTOWN RURAL FIRE DISTRICT</t>
  </si>
  <si>
    <t>LOCATED WITHIN FRENCHTOWN SERVICE AREA AND FRENCHTOWN RURAL FIRE DISTRICT</t>
  </si>
  <si>
    <t>FRENCHTOWN
FIRE</t>
  </si>
  <si>
    <t>LOCATED WITHIN LOLO SERVICE AREA</t>
  </si>
  <si>
    <t>LOCATED WITHIN SEELEY SERVICE AREA</t>
  </si>
  <si>
    <t>LOLO SEWER AND WATER IMPACT FEES</t>
  </si>
  <si>
    <t>SUMMARY OF IMPACT FEES - SEWER LINE CONNECTION</t>
  </si>
  <si>
    <t>SERVICE LINE DIAMETER</t>
  </si>
  <si>
    <t>EQUIVALENCY FACTOR</t>
  </si>
  <si>
    <t>IMPACT FEE</t>
  </si>
  <si>
    <t>Single Family</t>
  </si>
  <si>
    <t>N/A</t>
  </si>
  <si>
    <t>3/4"</t>
  </si>
  <si>
    <t>1"</t>
  </si>
  <si>
    <t>1 1/4"</t>
  </si>
  <si>
    <t>1 1/2"</t>
  </si>
  <si>
    <t>2"</t>
  </si>
  <si>
    <t>SUMMARY OF IMPACT FEES - WATER LINE CONNECTION</t>
  </si>
  <si>
    <t>2026 IMPACT FEE ESTIMATOR 
MIXED USE</t>
  </si>
  <si>
    <t>For new development building permits and land use/zoning compliance permits completed after Oct. 1, 2025. This worksheet is a NON-BINDING ESTIMATE.</t>
  </si>
  <si>
    <r>
      <t xml:space="preserve">Complete </t>
    </r>
    <r>
      <rPr>
        <b/>
        <sz val="18"/>
        <color theme="1"/>
        <rFont val="Calibri"/>
        <family val="2"/>
        <scheme val="minor"/>
      </rPr>
      <t>all</t>
    </r>
    <r>
      <rPr>
        <sz val="18"/>
        <color theme="1"/>
        <rFont val="Calibri"/>
        <family val="2"/>
        <scheme val="minor"/>
      </rPr>
      <t xml:space="preserve"> of Section A and C by selecting an answer in the green box. </t>
    </r>
  </si>
  <si>
    <t>Complete Section B and D if applicable.</t>
  </si>
  <si>
    <t xml:space="preserve">SECTION A </t>
  </si>
  <si>
    <t>SECTION E</t>
  </si>
  <si>
    <t>To be completed by all applicants</t>
  </si>
  <si>
    <t>Automatically calculated impact fees based on input from sections A, B, C and D</t>
  </si>
  <si>
    <t>CATEGORY:</t>
  </si>
  <si>
    <t>SHERIFF:</t>
  </si>
  <si>
    <t>PAYING BY CREDIT CARD:</t>
  </si>
  <si>
    <t>SECTION B</t>
  </si>
  <si>
    <t>EMERGENCY MANAGEMENT:</t>
  </si>
  <si>
    <t>To be completed by all applicants to determine if property is located within Frenchtown Fire District.</t>
  </si>
  <si>
    <t>FIRE DISTRICT LOOKUP LINK:</t>
  </si>
  <si>
    <t>CLICK HERE</t>
  </si>
  <si>
    <t>FRENCHTOWN FIRE DISTRICT:</t>
  </si>
  <si>
    <t>LOCATED WITHIN FRENCHTOWN FIRE DISTRICT?</t>
  </si>
  <si>
    <t>SECTION C</t>
  </si>
  <si>
    <t>TRANSPORTATION SHARED USE PATH:</t>
  </si>
  <si>
    <t>SERVICE AREA:</t>
  </si>
  <si>
    <t xml:space="preserve"> SERVICE AREA LOOKUP LINK:</t>
  </si>
  <si>
    <t>*LOLO RSID SEWER CONNECTION:</t>
  </si>
  <si>
    <t>PROPOSED (SQ.FT.)</t>
  </si>
  <si>
    <t>EXISTING (SQ.FT.)</t>
  </si>
  <si>
    <t>*LOLO RSID WATER CONNECTION:</t>
  </si>
  <si>
    <r>
      <t xml:space="preserve">CREDIT CARD FEE:  </t>
    </r>
    <r>
      <rPr>
        <sz val="12"/>
        <color rgb="FF000000"/>
        <rFont val="Avenir Next LT Pro"/>
        <family val="2"/>
      </rPr>
      <t>3.2% of total impact fees. Applied only to credit card payments.</t>
    </r>
  </si>
  <si>
    <r>
      <t xml:space="preserve">TOTAL ESTIMATED FEE:                         </t>
    </r>
    <r>
      <rPr>
        <sz val="12"/>
        <color theme="1"/>
        <rFont val="Avenir Next LT Pro"/>
        <family val="2"/>
      </rPr>
      <t>Total estimated fee due, including 3.2% credit card fee if applicable</t>
    </r>
  </si>
  <si>
    <t>RETAIL/
COMMERCIAL</t>
  </si>
  <si>
    <t>SECTION D</t>
  </si>
  <si>
    <t>To be completed by all applicants if the project will connect to the public sewer and/or water system in the Lolo RSID 901.</t>
  </si>
  <si>
    <t>Will the project include a NEW or UPDATED sewer and/or water connection to the RSID 901 Lolo Sewer and Water System?</t>
  </si>
  <si>
    <t>Yes</t>
  </si>
  <si>
    <t>SEWER LINE CONNECTION</t>
  </si>
  <si>
    <t>PROPOSED  DIAMETER OF SERVICE LINE</t>
  </si>
  <si>
    <t>EXISTING DIAMETER OF SERVICE LINE</t>
  </si>
  <si>
    <t>WATER LINE CONNECTION</t>
  </si>
  <si>
    <t>*Are you currently located in the Lolo RSID 901, but have not been receiving sewer and or water services?</t>
  </si>
  <si>
    <t>*In accordance with Resolution 2026-050, the Chief Public Works Officer shall provide an appropriate discount for new service lines to properties within Rural Special Improvement District 901that have not been receiving sewer and/or water services but which may have been eligible to.</t>
  </si>
  <si>
    <t>SQ.FT.</t>
  </si>
  <si>
    <t xml:space="preserve">PERCENT </t>
  </si>
  <si>
    <t>GENERAL GOVERNMENT</t>
  </si>
  <si>
    <t>EMERGENCY SERVICES</t>
  </si>
  <si>
    <t>FRENCHTOWN FIRE</t>
  </si>
  <si>
    <t>SHARED USE PATHS</t>
  </si>
  <si>
    <t>PARKS</t>
  </si>
  <si>
    <t>Total Sq.Ft.</t>
  </si>
  <si>
    <r>
      <t>Residential Sq.Ft. Determination (</t>
    </r>
    <r>
      <rPr>
        <b/>
        <sz val="11"/>
        <color theme="1"/>
        <rFont val="Calibri"/>
        <family val="2"/>
        <scheme val="minor"/>
      </rPr>
      <t>Total Sq.Ft.</t>
    </r>
    <r>
      <rPr>
        <sz val="11"/>
        <color theme="1"/>
        <rFont val="Calibri"/>
        <family val="2"/>
        <scheme val="minor"/>
      </rPr>
      <t>)</t>
    </r>
  </si>
  <si>
    <r>
      <t>Residential Sq.Ft. Determination (</t>
    </r>
    <r>
      <rPr>
        <b/>
        <sz val="11"/>
        <color theme="1"/>
        <rFont val="Calibri"/>
        <family val="2"/>
        <scheme val="minor"/>
      </rPr>
      <t>Existing Sq.Ft.</t>
    </r>
    <r>
      <rPr>
        <sz val="11"/>
        <color theme="1"/>
        <rFont val="Calibri"/>
        <family val="2"/>
        <scheme val="minor"/>
      </rPr>
      <t>)</t>
    </r>
  </si>
  <si>
    <t>Difference</t>
  </si>
  <si>
    <t>Proposed Sq.Ft. Determination</t>
  </si>
  <si>
    <t>Existing Sq.Ft. Determination</t>
  </si>
  <si>
    <t>RETAIL/COMMERCIAL</t>
  </si>
  <si>
    <t>NON-RESIDENTIAL TOTAL</t>
  </si>
  <si>
    <t>Total Additional Sq.Ft.</t>
  </si>
  <si>
    <t>Total New (Additional Sq.Ft.)</t>
  </si>
  <si>
    <r>
      <t xml:space="preserve">IMPACT FEE SCHEDULE
</t>
    </r>
    <r>
      <rPr>
        <sz val="11"/>
        <color rgb="FF395F6F"/>
        <rFont val="Avenir Next LT Pro"/>
        <family val="2"/>
      </rPr>
      <t>Effective October 1, 2025</t>
    </r>
    <r>
      <rPr>
        <b/>
        <sz val="16"/>
        <color rgb="FF395F6F"/>
        <rFont val="Avenir Next LT Pro"/>
        <family val="2"/>
      </rPr>
      <t xml:space="preserve">
</t>
    </r>
    <r>
      <rPr>
        <sz val="11"/>
        <color rgb="FF395F6F"/>
        <rFont val="Avenir Next LT Pro"/>
        <family val="2"/>
      </rPr>
      <t>*does not include card processing fee if applicable</t>
    </r>
  </si>
  <si>
    <t>LOCATED WITHIN MISSOULA COUNTY AND CITY OF MISSOULA</t>
  </si>
  <si>
    <t>COUNTY SHERIFF</t>
  </si>
  <si>
    <t>COUNTY EMERGENCY 
MANAGEMENT</t>
  </si>
  <si>
    <t>CITY IMPACT FEES COMBINED (per 1,000 sq.ft.)</t>
  </si>
  <si>
    <t>LOCATED WITHIN CENTRAL MISSOULA SERVICE AREA AND CITY OF MISSOULA</t>
  </si>
  <si>
    <t xml:space="preserve">COUNTY SHERIFF </t>
  </si>
  <si>
    <t>COUNTY SHARED USE PATHS</t>
  </si>
  <si>
    <t>CITY IMPACT FEES COMBINED</t>
  </si>
  <si>
    <t>NONRESIDENTIAL</t>
  </si>
  <si>
    <t>EMERGENCY MANAGEMENT</t>
  </si>
  <si>
    <t>FRENCHTOWN FIRE DISTRICT</t>
  </si>
  <si>
    <t>Residential &lt;750</t>
  </si>
  <si>
    <r>
      <rPr>
        <sz val="11"/>
        <color theme="1"/>
        <rFont val="Calibri"/>
        <family val="2"/>
      </rPr>
      <t>≤</t>
    </r>
    <r>
      <rPr>
        <sz val="11"/>
        <color theme="1"/>
        <rFont val="Calibri"/>
        <family val="2"/>
        <scheme val="minor"/>
      </rPr>
      <t>750</t>
    </r>
  </si>
  <si>
    <t>751-1000</t>
  </si>
  <si>
    <t>1001-1250</t>
  </si>
  <si>
    <t>1251-1500</t>
  </si>
  <si>
    <t>1501-1750</t>
  </si>
  <si>
    <t>1751-2000</t>
  </si>
  <si>
    <t>2001-2250</t>
  </si>
  <si>
    <t>2251-2500</t>
  </si>
  <si>
    <t>2501-2750</t>
  </si>
  <si>
    <t>2751-3000</t>
  </si>
  <si>
    <t>3001-3250</t>
  </si>
  <si>
    <t>3251-3500</t>
  </si>
  <si>
    <t>3501-3750</t>
  </si>
  <si>
    <t>3751-4000</t>
  </si>
  <si>
    <t>4001+</t>
  </si>
  <si>
    <t>TRANSPORTATION SHARED-USE PATH</t>
  </si>
  <si>
    <t>SHARED-USE PATH</t>
  </si>
  <si>
    <t>Bonner</t>
  </si>
  <si>
    <t>Central Missoula</t>
  </si>
  <si>
    <t>Frenchtown</t>
  </si>
  <si>
    <t>Lolo</t>
  </si>
  <si>
    <t>Seeley</t>
  </si>
  <si>
    <t>Residential</t>
  </si>
  <si>
    <t>Mixed</t>
  </si>
  <si>
    <t>CREDIT CARD</t>
  </si>
  <si>
    <t>CREDIT CARD FEE</t>
  </si>
  <si>
    <t>No</t>
  </si>
  <si>
    <t>SERVICE AREA</t>
  </si>
  <si>
    <t>SQ.FT. FROM</t>
  </si>
  <si>
    <t>SQ.FT. TO</t>
  </si>
  <si>
    <t>This worksheet contains the calculation data associated with the Impact Fees applied to new and growth related connections to the Lolo Sewer and Water System</t>
  </si>
  <si>
    <t>SEWER SERVICE LINE CONNECTION</t>
  </si>
  <si>
    <t>SEWER SERVICE LINE DIAMETER</t>
  </si>
  <si>
    <t>WATER SERVICE LINE CONNECTION</t>
  </si>
  <si>
    <t>WATER LINE DIAMETER</t>
  </si>
  <si>
    <t>Proposed Diameter of Service Line</t>
  </si>
  <si>
    <t>Existing Diameter of Service Line</t>
  </si>
  <si>
    <t>Fee Difference</t>
  </si>
  <si>
    <t>DATA FIELDS</t>
  </si>
  <si>
    <t>LOLO WATER AND SEWER RSID 901</t>
  </si>
  <si>
    <t>SUMMARY OF WATER AND SEWER SERVICE LINE CONNECTION FEES*</t>
  </si>
  <si>
    <t>SEWER CONNECTION SERVICE LINE SIZE</t>
  </si>
  <si>
    <t>Other Contact Public Works</t>
  </si>
  <si>
    <t>Contact Public Works</t>
  </si>
  <si>
    <t>*From Table 8 of 2025 Impact Fee Study conducted by  HDR, Inc.</t>
  </si>
  <si>
    <t>WATER CONNECTION SERVICE LINE SIZE</t>
  </si>
  <si>
    <t>*From Table 5 of 2025 Impact Fee Study conducted by  HDR,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</si>
</sst>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8" x14ac:knownFonts="1">
    <font>
      <sz val="11"/>
      <color theme="1"/>
      <name val="Calibri"/>
      <family val="2"/>
      <scheme val="minor"/>
    </font>
    <font>
      <b/>
      <sz val="11"/>
      <color theme="1"/>
      <name val="Calibri"/>
      <family val="2"/>
      <scheme val="minor"/>
    </font>
    <font>
      <b/>
      <sz val="16"/>
      <color rgb="FF395F6F"/>
      <name val="Avenir Next LT Pro"/>
      <family val="2"/>
    </font>
    <font>
      <b/>
      <sz val="14"/>
      <color rgb="FFACB55C"/>
      <name val="Avenir Next LT Pro"/>
      <family val="2"/>
    </font>
    <font>
      <sz val="11"/>
      <name val="Calibri"/>
      <family val="2"/>
      <scheme val="minor"/>
    </font>
    <font>
      <b/>
      <sz val="12"/>
      <color theme="1"/>
      <name val="Avenir Next LT Pro"/>
      <family val="2"/>
    </font>
    <font>
      <sz val="11"/>
      <color rgb="FF395F6F"/>
      <name val="Avenir Next LT Pro"/>
      <family val="2"/>
    </font>
    <font>
      <sz val="11"/>
      <color theme="1"/>
      <name val="Calibri"/>
      <family val="2"/>
    </font>
    <font>
      <sz val="11"/>
      <color theme="1"/>
      <name val="Avenir Next LT Pro Light"/>
      <family val="2"/>
    </font>
    <font>
      <sz val="16"/>
      <color rgb="FF395F6F"/>
      <name val="Avenir Next LT Pro"/>
      <family val="2"/>
    </font>
    <font>
      <sz val="10"/>
      <color rgb="FF395F6F"/>
      <name val="Avenir Next LT Pro"/>
      <family val="2"/>
    </font>
    <font>
      <b/>
      <sz val="10"/>
      <color rgb="FF395F6F"/>
      <name val="Avenir Next LT Pro"/>
      <family val="2"/>
    </font>
    <font>
      <b/>
      <sz val="11"/>
      <color theme="0"/>
      <name val="Calibri"/>
      <family val="2"/>
      <scheme val="minor"/>
    </font>
    <font>
      <u/>
      <sz val="11"/>
      <color theme="10"/>
      <name val="Calibri"/>
      <family val="2"/>
      <scheme val="minor"/>
    </font>
    <font>
      <b/>
      <sz val="11"/>
      <color theme="1"/>
      <name val="Avenir Next LT Pro Light"/>
      <family val="2"/>
    </font>
    <font>
      <b/>
      <sz val="11"/>
      <color theme="0"/>
      <name val="Avenir Next LT Pro Light"/>
      <family val="2"/>
    </font>
    <font>
      <b/>
      <sz val="16"/>
      <color theme="1"/>
      <name val="Avenir Next LT Pro"/>
      <family val="2"/>
    </font>
    <font>
      <sz val="14"/>
      <color theme="1"/>
      <name val="Calibri"/>
      <family val="2"/>
      <scheme val="minor"/>
    </font>
    <font>
      <sz val="18"/>
      <color theme="1"/>
      <name val="Calibri"/>
      <family val="2"/>
      <scheme val="minor"/>
    </font>
    <font>
      <b/>
      <strike/>
      <sz val="11"/>
      <color theme="1"/>
      <name val="Calibri"/>
      <family val="2"/>
      <scheme val="minor"/>
    </font>
    <font>
      <strike/>
      <sz val="11"/>
      <color theme="1"/>
      <name val="Calibri"/>
      <family val="2"/>
      <scheme val="minor"/>
    </font>
    <font>
      <b/>
      <sz val="18"/>
      <color theme="1"/>
      <name val="Calibri"/>
      <family val="2"/>
      <scheme val="minor"/>
    </font>
    <font>
      <b/>
      <sz val="11"/>
      <color rgb="FF395F6F"/>
      <name val="Avenir Next LT Pro"/>
      <family val="2"/>
    </font>
    <font>
      <b/>
      <sz val="20"/>
      <color theme="0"/>
      <name val="Avenir Next LT Pro"/>
      <family val="2"/>
    </font>
    <font>
      <b/>
      <sz val="11"/>
      <color theme="1"/>
      <name val="Avenir Next LT Pro"/>
      <family val="2"/>
    </font>
    <font>
      <sz val="11"/>
      <color theme="1"/>
      <name val="Avenir Next LT Pro"/>
      <family val="2"/>
    </font>
    <font>
      <sz val="12"/>
      <color theme="1"/>
      <name val="Avenir Next LT Pro"/>
      <family val="2"/>
    </font>
    <font>
      <b/>
      <sz val="14"/>
      <color theme="0"/>
      <name val="Avenir Next LT Pro"/>
      <family val="2"/>
    </font>
    <font>
      <sz val="14"/>
      <color theme="1"/>
      <name val="Avenir Next LT Pro"/>
      <family val="2"/>
    </font>
    <font>
      <b/>
      <sz val="11"/>
      <color theme="0"/>
      <name val="Avenir Next LT Pro"/>
      <family val="2"/>
    </font>
    <font>
      <b/>
      <u/>
      <sz val="14"/>
      <color theme="4"/>
      <name val="Avenir Next LT Pro"/>
      <family val="2"/>
    </font>
    <font>
      <b/>
      <sz val="12"/>
      <color rgb="FF000000"/>
      <name val="Avenir Next LT Pro"/>
      <family val="2"/>
    </font>
    <font>
      <sz val="12"/>
      <color rgb="FF000000"/>
      <name val="Avenir Next LT Pro"/>
      <family val="2"/>
    </font>
    <font>
      <b/>
      <u/>
      <sz val="14"/>
      <color theme="10"/>
      <name val="Avenir Next LT Pro"/>
      <family val="2"/>
    </font>
    <font>
      <i/>
      <sz val="11"/>
      <color theme="1"/>
      <name val="Calibri"/>
      <family val="2"/>
      <scheme val="minor"/>
    </font>
    <font>
      <b/>
      <sz val="12"/>
      <name val="Avenir Next LT Pro"/>
      <family val="2"/>
    </font>
    <font>
      <b/>
      <sz val="12"/>
      <color theme="1"/>
      <name val="Avenir Next LT Pro Demi"/>
      <family val="2"/>
    </font>
    <font>
      <i/>
      <sz val="11"/>
      <color theme="1"/>
      <name val="Avenir Next LT Pro"/>
      <family val="2"/>
    </font>
  </fonts>
  <fills count="11">
    <fill>
      <patternFill patternType="none"/>
    </fill>
    <fill>
      <patternFill patternType="gray125"/>
    </fill>
    <fill>
      <patternFill patternType="solid">
        <fgColor rgb="FFE3E1DC"/>
        <bgColor indexed="64"/>
      </patternFill>
    </fill>
    <fill>
      <patternFill patternType="solid">
        <fgColor rgb="FF688898"/>
        <bgColor indexed="64"/>
      </patternFill>
    </fill>
    <fill>
      <patternFill patternType="solid">
        <fgColor rgb="FF38444B"/>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FF00"/>
        <bgColor indexed="64"/>
      </patternFill>
    </fill>
  </fills>
  <borders count="35">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hair">
        <color indexed="64"/>
      </bottom>
      <diagonal/>
    </border>
  </borders>
  <cellStyleXfs count="2">
    <xf numFmtId="0" fontId="0" fillId="0" borderId="0"/>
    <xf numFmtId="0" fontId="13" fillId="0" borderId="0" applyNumberFormat="0" applyFill="0" applyBorder="0" applyAlignment="0" applyProtection="0"/>
  </cellStyleXfs>
  <cellXfs count="252">
    <xf numFmtId="0" fontId="0" fillId="0" borderId="0" xfId="0"/>
    <xf numFmtId="164" fontId="0" fillId="0" borderId="0" xfId="0" applyNumberFormat="1"/>
    <xf numFmtId="0" fontId="2" fillId="0" borderId="0" xfId="0" applyFont="1" applyAlignment="1">
      <alignment vertical="center"/>
    </xf>
    <xf numFmtId="0" fontId="3" fillId="0" borderId="0" xfId="0" applyFont="1"/>
    <xf numFmtId="0" fontId="1" fillId="0" borderId="0" xfId="0" applyFont="1" applyAlignment="1">
      <alignment horizontal="center"/>
    </xf>
    <xf numFmtId="165" fontId="0" fillId="0" borderId="1" xfId="0" applyNumberForma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5" xfId="0" applyBorder="1"/>
    <xf numFmtId="165" fontId="0" fillId="0" borderId="6" xfId="0" applyNumberFormat="1" applyBorder="1"/>
    <xf numFmtId="0" fontId="0" fillId="0" borderId="7" xfId="0" applyBorder="1"/>
    <xf numFmtId="165" fontId="0" fillId="0" borderId="8" xfId="0" applyNumberFormat="1" applyBorder="1"/>
    <xf numFmtId="165" fontId="0" fillId="0" borderId="9" xfId="0" applyNumberFormat="1" applyBorder="1"/>
    <xf numFmtId="164" fontId="1" fillId="0" borderId="3" xfId="0" applyNumberFormat="1" applyFont="1" applyBorder="1" applyAlignment="1">
      <alignment horizontal="center" wrapText="1"/>
    </xf>
    <xf numFmtId="164" fontId="0" fillId="0" borderId="1" xfId="0" applyNumberFormat="1" applyBorder="1"/>
    <xf numFmtId="164" fontId="1" fillId="0" borderId="3" xfId="0" applyNumberFormat="1" applyFont="1" applyBorder="1" applyAlignment="1">
      <alignment horizontal="center"/>
    </xf>
    <xf numFmtId="164" fontId="0" fillId="0" borderId="8" xfId="0" applyNumberFormat="1" applyBorder="1"/>
    <xf numFmtId="0" fontId="1" fillId="0" borderId="2" xfId="0" applyFont="1" applyBorder="1" applyAlignment="1">
      <alignment horizontal="center" wrapText="1"/>
    </xf>
    <xf numFmtId="0" fontId="0" fillId="0" borderId="0" xfId="0" applyAlignment="1">
      <alignment wrapText="1"/>
    </xf>
    <xf numFmtId="0" fontId="8" fillId="0" borderId="0" xfId="0" applyFont="1"/>
    <xf numFmtId="0" fontId="2" fillId="0" borderId="0" xfId="0" applyFont="1" applyAlignment="1">
      <alignment vertical="center" wrapText="1"/>
    </xf>
    <xf numFmtId="0" fontId="0" fillId="0" borderId="0" xfId="0" applyAlignment="1">
      <alignment horizontal="left"/>
    </xf>
    <xf numFmtId="4" fontId="0" fillId="0" borderId="0" xfId="0" applyNumberFormat="1"/>
    <xf numFmtId="3" fontId="0" fillId="0" borderId="0" xfId="0" applyNumberFormat="1"/>
    <xf numFmtId="0" fontId="1" fillId="0" borderId="0" xfId="0" applyFont="1"/>
    <xf numFmtId="10" fontId="0" fillId="0" borderId="0" xfId="0" applyNumberFormat="1"/>
    <xf numFmtId="0" fontId="0" fillId="0" borderId="0" xfId="0" applyProtection="1">
      <protection hidden="1"/>
    </xf>
    <xf numFmtId="164" fontId="0" fillId="0" borderId="0" xfId="0" applyNumberFormat="1" applyProtection="1">
      <protection hidden="1"/>
    </xf>
    <xf numFmtId="0" fontId="15" fillId="0" borderId="0" xfId="0" applyFont="1" applyAlignment="1" applyProtection="1">
      <alignment vertical="center" wrapText="1"/>
      <protection hidden="1"/>
    </xf>
    <xf numFmtId="0" fontId="14" fillId="0" borderId="0" xfId="0" applyFont="1" applyAlignment="1" applyProtection="1">
      <alignment horizontal="right"/>
      <protection hidden="1"/>
    </xf>
    <xf numFmtId="0" fontId="14" fillId="0" borderId="21" xfId="0" applyFont="1" applyBorder="1" applyProtection="1">
      <protection hidden="1"/>
    </xf>
    <xf numFmtId="0" fontId="0" fillId="0" borderId="15" xfId="0" applyBorder="1" applyProtection="1">
      <protection hidden="1"/>
    </xf>
    <xf numFmtId="164" fontId="0" fillId="0" borderId="19" xfId="0" applyNumberFormat="1" applyBorder="1" applyProtection="1">
      <protection hidden="1"/>
    </xf>
    <xf numFmtId="0" fontId="14" fillId="0" borderId="19" xfId="0" applyFont="1" applyBorder="1" applyProtection="1">
      <protection hidden="1"/>
    </xf>
    <xf numFmtId="0" fontId="0" fillId="0" borderId="16" xfId="0" applyBorder="1" applyProtection="1">
      <protection hidden="1"/>
    </xf>
    <xf numFmtId="164" fontId="12" fillId="5" borderId="0" xfId="0" applyNumberFormat="1" applyFont="1" applyFill="1" applyAlignment="1" applyProtection="1">
      <alignment horizontal="center" vertical="center"/>
      <protection hidden="1"/>
    </xf>
    <xf numFmtId="0" fontId="0" fillId="0" borderId="19" xfId="0" applyBorder="1" applyProtection="1">
      <protection hidden="1"/>
    </xf>
    <xf numFmtId="14" fontId="0" fillId="0" borderId="0" xfId="0" applyNumberFormat="1" applyProtection="1">
      <protection hidden="1"/>
    </xf>
    <xf numFmtId="0" fontId="0" fillId="0" borderId="0" xfId="0" applyAlignment="1">
      <alignment horizontal="left" vertical="center" wrapText="1"/>
    </xf>
    <xf numFmtId="0" fontId="0" fillId="0" borderId="22" xfId="0" applyBorder="1" applyProtection="1">
      <protection hidden="1"/>
    </xf>
    <xf numFmtId="0" fontId="14" fillId="0" borderId="16" xfId="0" applyFont="1" applyBorder="1" applyAlignment="1" applyProtection="1">
      <alignment horizontal="right"/>
      <protection hidden="1"/>
    </xf>
    <xf numFmtId="14" fontId="0" fillId="0" borderId="16" xfId="0" applyNumberFormat="1" applyBorder="1" applyProtection="1">
      <protection hidden="1"/>
    </xf>
    <xf numFmtId="0" fontId="18" fillId="0" borderId="0" xfId="0" applyFont="1" applyProtection="1">
      <protection hidden="1"/>
    </xf>
    <xf numFmtId="0" fontId="0" fillId="0" borderId="0" xfId="0" applyAlignment="1" applyProtection="1">
      <alignment vertical="top" wrapText="1"/>
      <protection hidden="1"/>
    </xf>
    <xf numFmtId="0" fontId="0" fillId="0" borderId="0" xfId="0" applyAlignment="1" applyProtection="1">
      <alignment horizontal="center" wrapText="1"/>
      <protection hidden="1"/>
    </xf>
    <xf numFmtId="0" fontId="16" fillId="0" borderId="0" xfId="0" applyFont="1" applyAlignment="1">
      <alignment vertical="center" wrapText="1"/>
    </xf>
    <xf numFmtId="0" fontId="0" fillId="0" borderId="0" xfId="0"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0" fillId="6" borderId="0" xfId="0" applyFill="1"/>
    <xf numFmtId="10" fontId="0" fillId="6" borderId="0" xfId="0" applyNumberFormat="1" applyFill="1"/>
    <xf numFmtId="164" fontId="0" fillId="6" borderId="0" xfId="0" applyNumberFormat="1" applyFill="1"/>
    <xf numFmtId="0" fontId="0" fillId="7" borderId="0" xfId="0" applyFill="1"/>
    <xf numFmtId="10" fontId="0" fillId="7" borderId="0" xfId="0" applyNumberFormat="1" applyFill="1"/>
    <xf numFmtId="164" fontId="0" fillId="7" borderId="0" xfId="0" applyNumberFormat="1" applyFill="1"/>
    <xf numFmtId="0" fontId="1" fillId="7" borderId="0" xfId="0" applyFont="1" applyFill="1"/>
    <xf numFmtId="0" fontId="1" fillId="6" borderId="0" xfId="0" applyFont="1" applyFill="1"/>
    <xf numFmtId="10" fontId="1" fillId="6" borderId="0" xfId="0" applyNumberFormat="1" applyFont="1" applyFill="1"/>
    <xf numFmtId="164" fontId="1" fillId="6" borderId="0" xfId="0" applyNumberFormat="1" applyFont="1" applyFill="1"/>
    <xf numFmtId="10" fontId="1" fillId="7" borderId="0" xfId="0" applyNumberFormat="1" applyFont="1" applyFill="1"/>
    <xf numFmtId="164" fontId="1" fillId="7" borderId="0" xfId="0" applyNumberFormat="1" applyFont="1" applyFill="1"/>
    <xf numFmtId="0" fontId="5" fillId="0" borderId="0" xfId="0" applyFont="1" applyAlignment="1">
      <alignment wrapText="1"/>
    </xf>
    <xf numFmtId="0" fontId="5" fillId="0" borderId="0" xfId="0" applyFont="1"/>
    <xf numFmtId="0" fontId="5" fillId="0" borderId="25" xfId="0" applyFont="1" applyBorder="1"/>
    <xf numFmtId="0" fontId="1" fillId="0" borderId="26" xfId="0" applyFont="1" applyBorder="1" applyAlignment="1">
      <alignment horizontal="center" wrapText="1"/>
    </xf>
    <xf numFmtId="165" fontId="0" fillId="0" borderId="27" xfId="0" applyNumberFormat="1" applyBorder="1"/>
    <xf numFmtId="165" fontId="0" fillId="0" borderId="28" xfId="0" applyNumberFormat="1" applyBorder="1"/>
    <xf numFmtId="165" fontId="4" fillId="0" borderId="27" xfId="0" applyNumberFormat="1" applyFont="1" applyBorder="1"/>
    <xf numFmtId="165" fontId="4" fillId="0" borderId="28" xfId="0" applyNumberFormat="1" applyFont="1" applyBorder="1"/>
    <xf numFmtId="164" fontId="4" fillId="0" borderId="18" xfId="0" applyNumberFormat="1" applyFont="1" applyBorder="1"/>
    <xf numFmtId="0" fontId="0" fillId="0" borderId="16" xfId="0" applyBorder="1"/>
    <xf numFmtId="164" fontId="0" fillId="0" borderId="16" xfId="0" applyNumberFormat="1" applyBorder="1"/>
    <xf numFmtId="164" fontId="4" fillId="0" borderId="20" xfId="0" applyNumberFormat="1" applyFont="1" applyBorder="1"/>
    <xf numFmtId="0" fontId="0" fillId="0" borderId="29" xfId="0" applyBorder="1"/>
    <xf numFmtId="0" fontId="1" fillId="0" borderId="10" xfId="0" applyFont="1" applyBorder="1" applyAlignment="1">
      <alignment wrapText="1"/>
    </xf>
    <xf numFmtId="0" fontId="0" fillId="0" borderId="11" xfId="0" applyBorder="1" applyAlignment="1">
      <alignment wrapText="1"/>
    </xf>
    <xf numFmtId="0" fontId="1" fillId="0" borderId="11" xfId="0" applyFont="1" applyBorder="1" applyAlignment="1">
      <alignment horizontal="center" wrapText="1"/>
    </xf>
    <xf numFmtId="0" fontId="1" fillId="0" borderId="12" xfId="0" applyFont="1" applyBorder="1" applyAlignment="1">
      <alignment horizontal="center" wrapText="1"/>
    </xf>
    <xf numFmtId="4" fontId="0" fillId="0" borderId="16" xfId="0" applyNumberFormat="1" applyBorder="1"/>
    <xf numFmtId="0" fontId="1" fillId="0" borderId="10" xfId="0" applyFont="1" applyBorder="1" applyAlignment="1">
      <alignment horizontal="left" wrapText="1"/>
    </xf>
    <xf numFmtId="0" fontId="0" fillId="0" borderId="30" xfId="0" applyBorder="1"/>
    <xf numFmtId="4" fontId="1" fillId="0" borderId="11" xfId="0" applyNumberFormat="1" applyFont="1" applyBorder="1" applyAlignment="1">
      <alignment horizontal="center" wrapText="1"/>
    </xf>
    <xf numFmtId="0" fontId="0" fillId="0" borderId="2" xfId="0" applyBorder="1"/>
    <xf numFmtId="4" fontId="0" fillId="0" borderId="15" xfId="0" applyNumberFormat="1" applyBorder="1"/>
    <xf numFmtId="164" fontId="0" fillId="0" borderId="15" xfId="0" applyNumberFormat="1" applyBorder="1"/>
    <xf numFmtId="164" fontId="0" fillId="0" borderId="17" xfId="0" applyNumberFormat="1" applyBorder="1"/>
    <xf numFmtId="164" fontId="0" fillId="0" borderId="18" xfId="0" applyNumberFormat="1" applyBorder="1"/>
    <xf numFmtId="164" fontId="0" fillId="0" borderId="20" xfId="0" applyNumberFormat="1" applyBorder="1"/>
    <xf numFmtId="0" fontId="19" fillId="0" borderId="11" xfId="0" applyFont="1" applyBorder="1" applyAlignment="1">
      <alignment horizontal="center" wrapText="1"/>
    </xf>
    <xf numFmtId="164" fontId="20" fillId="0" borderId="0" xfId="0" applyNumberFormat="1" applyFont="1"/>
    <xf numFmtId="164" fontId="20" fillId="0" borderId="16" xfId="0" applyNumberFormat="1" applyFont="1" applyBorder="1"/>
    <xf numFmtId="0" fontId="19" fillId="0" borderId="0" xfId="0" applyFont="1" applyAlignment="1">
      <alignment wrapText="1"/>
    </xf>
    <xf numFmtId="4" fontId="19" fillId="0" borderId="0" xfId="0" applyNumberFormat="1" applyFont="1" applyAlignment="1">
      <alignment horizontal="left" wrapText="1"/>
    </xf>
    <xf numFmtId="0" fontId="19" fillId="0" borderId="0" xfId="0" applyFont="1" applyAlignment="1">
      <alignment horizontal="center" wrapText="1"/>
    </xf>
    <xf numFmtId="0" fontId="20" fillId="0" borderId="0" xfId="0" applyFont="1"/>
    <xf numFmtId="4" fontId="20" fillId="0" borderId="0" xfId="0" applyNumberFormat="1" applyFont="1"/>
    <xf numFmtId="0" fontId="0" fillId="0" borderId="0" xfId="0" applyAlignment="1">
      <alignment vertical="top" wrapText="1"/>
    </xf>
    <xf numFmtId="0" fontId="0" fillId="0" borderId="18" xfId="0" applyBorder="1"/>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6" fillId="8" borderId="13" xfId="0" applyFont="1" applyFill="1" applyBorder="1" applyAlignment="1" applyProtection="1">
      <alignment horizontal="center" vertical="center" wrapText="1"/>
      <protection locked="0" hidden="1"/>
    </xf>
    <xf numFmtId="0" fontId="5" fillId="0" borderId="19" xfId="0" applyFont="1" applyBorder="1" applyAlignment="1" applyProtection="1">
      <alignment horizontal="right" vertical="center" wrapText="1"/>
      <protection hidden="1"/>
    </xf>
    <xf numFmtId="164" fontId="27" fillId="3" borderId="13" xfId="0" applyNumberFormat="1" applyFont="1" applyFill="1" applyBorder="1" applyAlignment="1" applyProtection="1">
      <alignment horizontal="center" vertical="center"/>
      <protection hidden="1"/>
    </xf>
    <xf numFmtId="0" fontId="28" fillId="8" borderId="13" xfId="0" applyFont="1" applyFill="1" applyBorder="1" applyAlignment="1" applyProtection="1">
      <alignment horizontal="center" vertical="center"/>
      <protection locked="0" hidden="1"/>
    </xf>
    <xf numFmtId="0" fontId="24" fillId="0" borderId="19" xfId="0" applyFont="1" applyBorder="1" applyAlignment="1" applyProtection="1">
      <alignment horizontal="right" vertical="center" wrapText="1"/>
      <protection hidden="1"/>
    </xf>
    <xf numFmtId="164" fontId="29" fillId="0" borderId="18" xfId="0" applyNumberFormat="1" applyFont="1" applyBorder="1" applyAlignment="1" applyProtection="1">
      <alignment horizontal="center" vertical="center"/>
      <protection hidden="1"/>
    </xf>
    <xf numFmtId="0" fontId="26" fillId="8" borderId="13" xfId="0" applyFont="1" applyFill="1" applyBorder="1" applyAlignment="1" applyProtection="1">
      <alignment horizontal="center" vertical="center"/>
      <protection locked="0" hidden="1"/>
    </xf>
    <xf numFmtId="164" fontId="27" fillId="3" borderId="14" xfId="0" applyNumberFormat="1" applyFont="1" applyFill="1" applyBorder="1" applyAlignment="1" applyProtection="1">
      <alignment horizontal="center" vertical="center"/>
      <protection hidden="1"/>
    </xf>
    <xf numFmtId="0" fontId="26" fillId="0" borderId="13" xfId="0" applyFont="1" applyBorder="1" applyAlignment="1" applyProtection="1">
      <alignment horizontal="center" vertical="center" wrapText="1"/>
      <protection locked="0" hidden="1"/>
    </xf>
    <xf numFmtId="164" fontId="29" fillId="0" borderId="17" xfId="0" applyNumberFormat="1" applyFont="1" applyBorder="1" applyAlignment="1" applyProtection="1">
      <alignment horizontal="center" vertical="center"/>
      <protection hidden="1"/>
    </xf>
    <xf numFmtId="164" fontId="5" fillId="0" borderId="19" xfId="0" applyNumberFormat="1" applyFont="1" applyBorder="1" applyAlignment="1">
      <alignment horizontal="right" vertical="center" wrapText="1"/>
    </xf>
    <xf numFmtId="0" fontId="5" fillId="0" borderId="13" xfId="0" applyFont="1" applyBorder="1" applyAlignment="1" applyProtection="1">
      <alignment horizontal="left" vertical="center" wrapText="1"/>
      <protection hidden="1"/>
    </xf>
    <xf numFmtId="3" fontId="25" fillId="2" borderId="13" xfId="0" applyNumberFormat="1" applyFont="1" applyFill="1" applyBorder="1" applyAlignment="1" applyProtection="1">
      <alignment vertical="center"/>
      <protection locked="0" hidden="1"/>
    </xf>
    <xf numFmtId="0" fontId="25" fillId="0" borderId="18" xfId="0" applyFont="1" applyBorder="1" applyAlignment="1">
      <alignment vertical="center" wrapText="1"/>
    </xf>
    <xf numFmtId="0" fontId="5" fillId="0" borderId="20" xfId="0" applyFont="1" applyBorder="1" applyAlignment="1" applyProtection="1">
      <alignment horizontal="left" vertical="center" wrapText="1"/>
      <protection hidden="1"/>
    </xf>
    <xf numFmtId="3" fontId="26" fillId="2" borderId="13" xfId="0" applyNumberFormat="1" applyFont="1" applyFill="1" applyBorder="1" applyAlignment="1" applyProtection="1">
      <alignment vertical="center"/>
      <protection locked="0" hidden="1"/>
    </xf>
    <xf numFmtId="0" fontId="25" fillId="0" borderId="18" xfId="0" applyFont="1" applyBorder="1"/>
    <xf numFmtId="0" fontId="25" fillId="0" borderId="0" xfId="0" applyFont="1" applyAlignment="1">
      <alignment vertical="center"/>
    </xf>
    <xf numFmtId="0" fontId="5" fillId="0" borderId="19" xfId="0" applyFont="1" applyBorder="1" applyAlignment="1" applyProtection="1">
      <alignment vertical="center" wrapText="1"/>
      <protection hidden="1"/>
    </xf>
    <xf numFmtId="164" fontId="29" fillId="0" borderId="18" xfId="0" applyNumberFormat="1" applyFont="1" applyBorder="1" applyAlignment="1" applyProtection="1">
      <alignment vertical="center"/>
      <protection hidden="1"/>
    </xf>
    <xf numFmtId="0" fontId="5" fillId="0" borderId="22" xfId="0" applyFont="1" applyBorder="1" applyAlignment="1" applyProtection="1">
      <alignment vertical="center" wrapText="1"/>
      <protection hidden="1"/>
    </xf>
    <xf numFmtId="164" fontId="27" fillId="0" borderId="20" xfId="0" applyNumberFormat="1" applyFont="1" applyBorder="1" applyAlignment="1" applyProtection="1">
      <alignment vertical="center"/>
      <protection hidden="1"/>
    </xf>
    <xf numFmtId="164" fontId="25" fillId="0" borderId="0" xfId="0" applyNumberFormat="1" applyFont="1"/>
    <xf numFmtId="0" fontId="25" fillId="0" borderId="0" xfId="0" applyFont="1"/>
    <xf numFmtId="164" fontId="25" fillId="0" borderId="0" xfId="0" applyNumberFormat="1" applyFont="1" applyAlignment="1">
      <alignment vertical="center"/>
    </xf>
    <xf numFmtId="0" fontId="25" fillId="0" borderId="0" xfId="0" applyFont="1" applyAlignment="1">
      <alignment vertical="center" wrapText="1"/>
    </xf>
    <xf numFmtId="164" fontId="25" fillId="0" borderId="0" xfId="0" applyNumberFormat="1" applyFont="1" applyAlignment="1">
      <alignment vertical="center" wrapText="1"/>
    </xf>
    <xf numFmtId="0" fontId="25" fillId="2" borderId="13" xfId="0" applyFont="1" applyFill="1" applyBorder="1" applyAlignment="1" applyProtection="1">
      <alignment vertical="center" wrapText="1"/>
      <protection locked="0" hidden="1"/>
    </xf>
    <xf numFmtId="0" fontId="26" fillId="2" borderId="13" xfId="0" applyFont="1" applyFill="1" applyBorder="1" applyAlignment="1" applyProtection="1">
      <alignment vertical="center" wrapText="1"/>
      <protection locked="0" hidden="1"/>
    </xf>
    <xf numFmtId="0" fontId="33" fillId="8" borderId="12" xfId="1" applyFont="1" applyFill="1" applyBorder="1" applyAlignment="1" applyProtection="1">
      <alignment horizontal="center" vertical="center"/>
      <protection locked="0" hidden="1"/>
    </xf>
    <xf numFmtId="0" fontId="31" fillId="0" borderId="19" xfId="0" applyFont="1" applyBorder="1" applyAlignment="1" applyProtection="1">
      <alignment horizontal="right" vertical="center" wrapText="1"/>
      <protection hidden="1"/>
    </xf>
    <xf numFmtId="0" fontId="30" fillId="9" borderId="12" xfId="1" applyFont="1" applyFill="1" applyBorder="1" applyAlignment="1" applyProtection="1">
      <alignment horizontal="center" vertical="center"/>
      <protection locked="0" hidden="1"/>
    </xf>
    <xf numFmtId="0" fontId="0" fillId="0" borderId="19" xfId="0" applyBorder="1" applyAlignment="1">
      <alignment vertical="center" wrapText="1"/>
    </xf>
    <xf numFmtId="164" fontId="0" fillId="0" borderId="18" xfId="0" applyNumberFormat="1" applyBorder="1" applyAlignment="1">
      <alignment horizontal="center" vertical="center" wrapText="1"/>
    </xf>
    <xf numFmtId="0" fontId="0" fillId="0" borderId="22" xfId="0" applyBorder="1" applyAlignment="1">
      <alignment vertical="center" wrapText="1"/>
    </xf>
    <xf numFmtId="0" fontId="0" fillId="0" borderId="16" xfId="0" applyBorder="1" applyAlignment="1">
      <alignment horizontal="center" vertical="center" wrapText="1"/>
    </xf>
    <xf numFmtId="164" fontId="0" fillId="0" borderId="20" xfId="0" applyNumberFormat="1" applyBorder="1" applyAlignment="1">
      <alignment horizontal="center" vertical="center" wrapText="1"/>
    </xf>
    <xf numFmtId="0" fontId="1" fillId="6" borderId="22" xfId="0" applyFont="1" applyFill="1" applyBorder="1" applyAlignment="1">
      <alignment vertical="center" wrapText="1"/>
    </xf>
    <xf numFmtId="0" fontId="0" fillId="6" borderId="16" xfId="0" applyFill="1" applyBorder="1" applyAlignment="1">
      <alignment horizontal="center" vertical="center" wrapText="1"/>
    </xf>
    <xf numFmtId="164" fontId="1" fillId="6" borderId="20"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16" xfId="0" applyFont="1" applyBorder="1"/>
    <xf numFmtId="0" fontId="0" fillId="0" borderId="19" xfId="0" applyBorder="1"/>
    <xf numFmtId="165" fontId="0" fillId="0" borderId="18" xfId="0" applyNumberFormat="1" applyBorder="1"/>
    <xf numFmtId="164" fontId="26" fillId="0" borderId="19" xfId="0" applyNumberFormat="1" applyFont="1" applyBorder="1"/>
    <xf numFmtId="164" fontId="27" fillId="4" borderId="17" xfId="0" applyNumberFormat="1" applyFont="1" applyFill="1" applyBorder="1" applyAlignment="1" applyProtection="1">
      <alignment horizontal="center" vertical="center"/>
      <protection hidden="1"/>
    </xf>
    <xf numFmtId="0" fontId="1" fillId="2" borderId="10" xfId="0" applyFont="1" applyFill="1" applyBorder="1" applyAlignment="1">
      <alignment horizontal="center" vertical="center" wrapText="1"/>
    </xf>
    <xf numFmtId="0" fontId="0" fillId="0" borderId="22" xfId="0" applyBorder="1" applyAlignment="1">
      <alignment horizontal="left" vertical="center" wrapText="1"/>
    </xf>
    <xf numFmtId="0" fontId="1" fillId="6" borderId="22" xfId="0" applyFont="1" applyFill="1" applyBorder="1" applyAlignment="1">
      <alignment horizontal="center" vertical="center" wrapText="1"/>
    </xf>
    <xf numFmtId="0" fontId="0" fillId="0" borderId="0" xfId="0" applyAlignment="1">
      <alignment horizontal="center" vertical="center" wrapText="1"/>
    </xf>
    <xf numFmtId="0" fontId="1" fillId="0" borderId="31" xfId="0" applyFont="1" applyBorder="1"/>
    <xf numFmtId="0" fontId="1" fillId="0" borderId="21" xfId="0" applyFont="1" applyBorder="1" applyAlignment="1">
      <alignment vertical="center" wrapText="1"/>
    </xf>
    <xf numFmtId="0" fontId="1" fillId="0" borderId="17" xfId="0" applyFont="1" applyBorder="1" applyAlignment="1">
      <alignment vertical="center" wrapText="1"/>
    </xf>
    <xf numFmtId="0" fontId="1" fillId="0" borderId="0" xfId="0" applyFont="1" applyAlignment="1">
      <alignment horizontal="center" vertical="center" wrapText="1"/>
    </xf>
    <xf numFmtId="164" fontId="1" fillId="0" borderId="0" xfId="0" applyNumberFormat="1" applyFont="1" applyAlignment="1">
      <alignment horizontal="center" wrapText="1"/>
    </xf>
    <xf numFmtId="4" fontId="0" fillId="0" borderId="33" xfId="0" applyNumberFormat="1" applyBorder="1" applyAlignment="1">
      <alignment horizontal="right"/>
    </xf>
    <xf numFmtId="0" fontId="1" fillId="0" borderId="29" xfId="0" applyFont="1" applyBorder="1" applyAlignment="1">
      <alignment horizontal="left" wrapText="1"/>
    </xf>
    <xf numFmtId="4" fontId="0" fillId="0" borderId="16" xfId="0" applyNumberFormat="1" applyBorder="1" applyAlignment="1">
      <alignment horizontal="right"/>
    </xf>
    <xf numFmtId="0" fontId="1" fillId="0" borderId="2" xfId="0" applyFont="1" applyBorder="1" applyAlignment="1">
      <alignment wrapText="1"/>
    </xf>
    <xf numFmtId="164" fontId="0" fillId="0" borderId="1" xfId="0" applyNumberFormat="1" applyBorder="1" applyAlignment="1">
      <alignment horizontal="right"/>
    </xf>
    <xf numFmtId="4" fontId="0" fillId="0" borderId="1" xfId="0" applyNumberFormat="1" applyBorder="1" applyAlignment="1">
      <alignment horizontal="right"/>
    </xf>
    <xf numFmtId="0" fontId="1" fillId="0" borderId="32" xfId="0" applyFont="1" applyBorder="1"/>
    <xf numFmtId="165" fontId="0" fillId="0" borderId="0" xfId="0" applyNumberFormat="1"/>
    <xf numFmtId="165" fontId="0" fillId="0" borderId="0" xfId="0" applyNumberFormat="1" applyAlignment="1">
      <alignment wrapText="1"/>
    </xf>
    <xf numFmtId="165" fontId="0" fillId="0" borderId="0" xfId="0" applyNumberFormat="1" applyAlignment="1">
      <alignment horizontal="center" wrapText="1"/>
    </xf>
    <xf numFmtId="164" fontId="1" fillId="0" borderId="4" xfId="0" applyNumberFormat="1" applyFont="1" applyBorder="1" applyAlignment="1">
      <alignment horizontal="center" wrapText="1"/>
    </xf>
    <xf numFmtId="164" fontId="1" fillId="0" borderId="34" xfId="0" applyNumberFormat="1" applyFont="1" applyBorder="1" applyAlignment="1">
      <alignment horizontal="center" wrapText="1"/>
    </xf>
    <xf numFmtId="49" fontId="35" fillId="8" borderId="12" xfId="1" applyNumberFormat="1" applyFont="1" applyFill="1" applyBorder="1" applyAlignment="1" applyProtection="1">
      <alignment horizontal="center" vertical="center" wrapText="1"/>
      <protection locked="0" hidden="1"/>
    </xf>
    <xf numFmtId="0" fontId="0" fillId="8" borderId="13" xfId="0" applyFill="1" applyBorder="1"/>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1" fillId="0" borderId="22" xfId="0" applyFont="1" applyBorder="1"/>
    <xf numFmtId="165" fontId="1" fillId="0" borderId="20" xfId="0" applyNumberFormat="1" applyFont="1" applyBorder="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0" fillId="0" borderId="0" xfId="0" applyFont="1" applyAlignment="1">
      <alignment horizontal="left" vertic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24" xfId="0" applyFont="1"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24" xfId="0" applyFont="1" applyBorder="1" applyAlignment="1">
      <alignment horizont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3" fontId="26" fillId="2" borderId="14" xfId="0" applyNumberFormat="1" applyFont="1" applyFill="1" applyBorder="1" applyAlignment="1" applyProtection="1">
      <alignment horizontal="center" vertical="center"/>
      <protection locked="0" hidden="1"/>
    </xf>
    <xf numFmtId="3" fontId="26" fillId="2" borderId="23" xfId="0" applyNumberFormat="1" applyFont="1" applyFill="1" applyBorder="1" applyAlignment="1" applyProtection="1">
      <alignment horizontal="center" vertical="center"/>
      <protection locked="0" hidden="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5" fillId="0" borderId="14" xfId="0" applyFont="1" applyBorder="1" applyAlignment="1" applyProtection="1">
      <alignment horizontal="left" vertical="center" wrapText="1"/>
      <protection hidden="1"/>
    </xf>
    <xf numFmtId="0" fontId="5" fillId="0" borderId="23" xfId="0" applyFont="1" applyBorder="1" applyAlignment="1" applyProtection="1">
      <alignment horizontal="left" vertical="center" wrapText="1"/>
      <protection hidden="1"/>
    </xf>
    <xf numFmtId="0" fontId="5" fillId="0" borderId="14" xfId="0"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2" xfId="0" applyFont="1" applyFill="1" applyBorder="1" applyAlignment="1">
      <alignment horizontal="center" vertical="center"/>
    </xf>
    <xf numFmtId="0" fontId="5" fillId="0" borderId="10" xfId="0" applyFont="1" applyBorder="1" applyAlignment="1" applyProtection="1">
      <alignment horizontal="right" vertical="center" wrapText="1"/>
      <protection hidden="1"/>
    </xf>
    <xf numFmtId="0" fontId="5" fillId="0" borderId="12" xfId="0" applyFont="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35" fillId="7" borderId="10"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12" xfId="0" applyFont="1" applyFill="1" applyBorder="1" applyAlignment="1">
      <alignment horizontal="center" vertical="center" wrapText="1"/>
    </xf>
    <xf numFmtId="0" fontId="5" fillId="0" borderId="10"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10" xfId="0" applyFont="1" applyBorder="1" applyAlignment="1" applyProtection="1">
      <alignment horizontal="right" vertical="center"/>
      <protection hidden="1"/>
    </xf>
    <xf numFmtId="0" fontId="5" fillId="0" borderId="12" xfId="0" applyFont="1" applyBorder="1" applyAlignment="1" applyProtection="1">
      <alignment horizontal="right" vertical="center"/>
      <protection hidden="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18" xfId="0" applyFont="1" applyBorder="1" applyAlignment="1">
      <alignment horizontal="center" vertical="center" wrapText="1"/>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21" xfId="0" applyFont="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16" fillId="7" borderId="10" xfId="0" applyFont="1" applyFill="1" applyBorder="1" applyAlignment="1" applyProtection="1">
      <alignment horizontal="center" vertical="center"/>
      <protection hidden="1"/>
    </xf>
    <xf numFmtId="0" fontId="16" fillId="7" borderId="11" xfId="0" applyFont="1" applyFill="1" applyBorder="1" applyAlignment="1" applyProtection="1">
      <alignment horizontal="center" vertical="center"/>
      <protection hidden="1"/>
    </xf>
    <xf numFmtId="0" fontId="16" fillId="7" borderId="12" xfId="0" applyFont="1" applyFill="1" applyBorder="1" applyAlignment="1" applyProtection="1">
      <alignment horizontal="center" vertical="center"/>
      <protection hidden="1"/>
    </xf>
    <xf numFmtId="0" fontId="23" fillId="3" borderId="21"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7" xfId="0" applyFont="1" applyFill="1" applyBorder="1" applyAlignment="1">
      <alignment horizontal="center" vertical="center"/>
    </xf>
    <xf numFmtId="0" fontId="23" fillId="4" borderId="21" xfId="0" applyFont="1" applyFill="1" applyBorder="1" applyAlignment="1" applyProtection="1">
      <alignment horizontal="center" vertical="center" wrapText="1"/>
      <protection hidden="1"/>
    </xf>
    <xf numFmtId="0" fontId="23" fillId="4" borderId="17" xfId="0" applyFont="1" applyFill="1" applyBorder="1" applyAlignment="1" applyProtection="1">
      <alignment horizontal="center" vertical="center" wrapText="1"/>
      <protection hidden="1"/>
    </xf>
    <xf numFmtId="0" fontId="18" fillId="8" borderId="21" xfId="0" applyFont="1" applyFill="1" applyBorder="1" applyAlignment="1" applyProtection="1">
      <alignment horizontal="center"/>
      <protection hidden="1"/>
    </xf>
    <xf numFmtId="0" fontId="18" fillId="8" borderId="15" xfId="0" applyFont="1" applyFill="1" applyBorder="1" applyAlignment="1" applyProtection="1">
      <alignment horizontal="center"/>
      <protection hidden="1"/>
    </xf>
    <xf numFmtId="0" fontId="18" fillId="8" borderId="17" xfId="0" applyFont="1" applyFill="1" applyBorder="1" applyAlignment="1" applyProtection="1">
      <alignment horizontal="center"/>
      <protection hidden="1"/>
    </xf>
    <xf numFmtId="0" fontId="18" fillId="8" borderId="22" xfId="0" applyFont="1" applyFill="1" applyBorder="1" applyAlignment="1" applyProtection="1">
      <alignment horizontal="center"/>
      <protection hidden="1"/>
    </xf>
    <xf numFmtId="0" fontId="18" fillId="8" borderId="16" xfId="0" applyFont="1" applyFill="1" applyBorder="1" applyAlignment="1" applyProtection="1">
      <alignment horizontal="center"/>
      <protection hidden="1"/>
    </xf>
    <xf numFmtId="0" fontId="18" fillId="8" borderId="20" xfId="0" applyFont="1" applyFill="1" applyBorder="1" applyAlignment="1" applyProtection="1">
      <alignment horizontal="center"/>
      <protection hidden="1"/>
    </xf>
    <xf numFmtId="0" fontId="5" fillId="0" borderId="10"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23" fillId="3" borderId="22" xfId="0" applyFont="1" applyFill="1" applyBorder="1" applyAlignment="1">
      <alignment horizontal="center" vertical="center"/>
    </xf>
    <xf numFmtId="0" fontId="23" fillId="3" borderId="16" xfId="0" applyFont="1" applyFill="1" applyBorder="1" applyAlignment="1">
      <alignment horizontal="center" vertical="center"/>
    </xf>
    <xf numFmtId="0" fontId="23" fillId="3" borderId="20" xfId="0" applyFont="1" applyFill="1" applyBorder="1" applyAlignment="1">
      <alignment horizontal="center" vertical="center"/>
    </xf>
    <xf numFmtId="0" fontId="2" fillId="10" borderId="0" xfId="0" applyFont="1" applyFill="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34" fillId="0" borderId="22" xfId="0" applyFont="1" applyBorder="1" applyAlignment="1">
      <alignment horizontal="left" vertical="center" wrapText="1"/>
    </xf>
    <xf numFmtId="0" fontId="34" fillId="0" borderId="20" xfId="0" applyFont="1" applyBorder="1" applyAlignment="1">
      <alignment horizontal="left"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cellXfs>
  <cellStyles count="2">
    <cellStyle name="Hyperlink" xfId="1" builtinId="8"/>
    <cellStyle name="Normal" xfId="0" builtinId="0"/>
  </cellStyles>
  <dxfs count="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ACB55C"/>
      <color rgb="FFE3E1DC"/>
      <color rgb="FFC9A978"/>
      <color rgb="FF688898"/>
      <color rgb="FFA45248"/>
      <color rgb="FF395F6F"/>
      <color rgb="FF38444B"/>
      <color rgb="FF5405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2</xdr:col>
      <xdr:colOff>683895</xdr:colOff>
      <xdr:row>2</xdr:row>
      <xdr:rowOff>215265</xdr:rowOff>
    </xdr:to>
    <xdr:pic>
      <xdr:nvPicPr>
        <xdr:cNvPr id="2" name="Picture 1">
          <a:extLst>
            <a:ext uri="{FF2B5EF4-FFF2-40B4-BE49-F238E27FC236}">
              <a16:creationId xmlns:a16="http://schemas.microsoft.com/office/drawing/2014/main" id="{50059AE5-35E4-86DD-459D-291EBF8AC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090545" cy="640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211854</xdr:colOff>
      <xdr:row>0</xdr:row>
      <xdr:rowOff>101002</xdr:rowOff>
    </xdr:from>
    <xdr:to>
      <xdr:col>2</xdr:col>
      <xdr:colOff>190500</xdr:colOff>
      <xdr:row>6</xdr:row>
      <xdr:rowOff>62901</xdr:rowOff>
    </xdr:to>
    <xdr:pic>
      <xdr:nvPicPr>
        <xdr:cNvPr id="2" name="Picture 1">
          <a:extLst>
            <a:ext uri="{FF2B5EF4-FFF2-40B4-BE49-F238E27FC236}">
              <a16:creationId xmlns:a16="http://schemas.microsoft.com/office/drawing/2014/main" id="{B2AE3BAA-23CE-462B-8922-1B466DD8A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854" y="101002"/>
          <a:ext cx="2975846" cy="1117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3</xdr:col>
      <xdr:colOff>379095</xdr:colOff>
      <xdr:row>3</xdr:row>
      <xdr:rowOff>116205</xdr:rowOff>
    </xdr:to>
    <xdr:pic>
      <xdr:nvPicPr>
        <xdr:cNvPr id="2" name="Picture 1">
          <a:extLst>
            <a:ext uri="{FF2B5EF4-FFF2-40B4-BE49-F238E27FC236}">
              <a16:creationId xmlns:a16="http://schemas.microsoft.com/office/drawing/2014/main" id="{10E6A7EA-6A9D-4FC4-AD0D-3DFEFAA29F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7625"/>
          <a:ext cx="3331845" cy="8401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xperience.arcgis.com/experience/031eee7bba9145c9b3a24b2974baf010/" TargetMode="External"/><Relationship Id="rId1" Type="http://schemas.openxmlformats.org/officeDocument/2006/relationships/hyperlink" Target="https://gis.missoulacounty.us/propertyinformation/?qgeo=04220029113060000"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FBDB-BB4E-41C4-A6D6-D4D6208484E4}">
  <dimension ref="A1:H200"/>
  <sheetViews>
    <sheetView zoomScaleNormal="100" workbookViewId="0">
      <selection activeCell="A31" sqref="A31"/>
    </sheetView>
  </sheetViews>
  <sheetFormatPr defaultRowHeight="14.4" x14ac:dyDescent="0.3"/>
  <cols>
    <col min="1" max="1" width="20.33203125" customWidth="1"/>
    <col min="2" max="2" width="13.44140625" style="1" customWidth="1"/>
    <col min="3" max="3" width="15.6640625" style="1" customWidth="1"/>
    <col min="4" max="4" width="15.88671875" customWidth="1"/>
    <col min="5" max="5" width="19.6640625" customWidth="1"/>
    <col min="6" max="6" width="17.6640625" customWidth="1"/>
    <col min="7" max="7" width="10.44140625" customWidth="1"/>
    <col min="8" max="8" width="10.33203125" customWidth="1"/>
  </cols>
  <sheetData>
    <row r="1" spans="1:8" ht="18.600000000000001" customHeight="1" x14ac:dyDescent="0.3">
      <c r="F1" s="187" t="s">
        <v>0</v>
      </c>
      <c r="G1" s="187"/>
      <c r="H1" s="187"/>
    </row>
    <row r="2" spans="1:8" ht="18.600000000000001" customHeight="1" x14ac:dyDescent="0.3">
      <c r="F2" s="187"/>
      <c r="G2" s="187"/>
      <c r="H2" s="187"/>
    </row>
    <row r="3" spans="1:8" ht="18.600000000000001" customHeight="1" x14ac:dyDescent="0.3">
      <c r="F3" s="187"/>
      <c r="G3" s="187"/>
      <c r="H3" s="187"/>
    </row>
    <row r="4" spans="1:8" ht="18.600000000000001" customHeight="1" x14ac:dyDescent="0.3">
      <c r="F4" s="187"/>
      <c r="G4" s="187"/>
      <c r="H4" s="187"/>
    </row>
    <row r="5" spans="1:8" ht="18.600000000000001" customHeight="1" x14ac:dyDescent="0.3">
      <c r="F5" s="187"/>
      <c r="G5" s="187"/>
      <c r="H5" s="187"/>
    </row>
    <row r="6" spans="1:8" ht="15" customHeight="1" x14ac:dyDescent="0.3">
      <c r="H6" s="22"/>
    </row>
    <row r="7" spans="1:8" ht="15" customHeight="1" x14ac:dyDescent="0.3">
      <c r="A7" s="189" t="s">
        <v>1</v>
      </c>
      <c r="B7" s="189"/>
      <c r="C7" s="189"/>
      <c r="D7" s="189"/>
      <c r="E7" s="189"/>
      <c r="F7" s="189"/>
      <c r="G7" s="189"/>
      <c r="H7" s="189"/>
    </row>
    <row r="8" spans="1:8" ht="15" customHeight="1" x14ac:dyDescent="0.3">
      <c r="A8" s="189"/>
      <c r="B8" s="189"/>
      <c r="C8" s="189"/>
      <c r="D8" s="189"/>
      <c r="E8" s="189"/>
      <c r="F8" s="189"/>
      <c r="G8" s="189"/>
      <c r="H8" s="189"/>
    </row>
    <row r="9" spans="1:8" ht="15" customHeight="1" x14ac:dyDescent="0.3">
      <c r="A9" s="189"/>
      <c r="B9" s="189"/>
      <c r="C9" s="189"/>
      <c r="D9" s="189"/>
      <c r="E9" s="189"/>
      <c r="F9" s="189"/>
      <c r="G9" s="189"/>
      <c r="H9" s="189"/>
    </row>
    <row r="10" spans="1:8" ht="15" customHeight="1" x14ac:dyDescent="0.3">
      <c r="A10" s="22"/>
      <c r="B10" s="22"/>
      <c r="C10" s="22"/>
      <c r="D10" s="22"/>
      <c r="E10" s="22"/>
      <c r="F10" s="22"/>
      <c r="G10" s="22"/>
      <c r="H10" s="22"/>
    </row>
    <row r="11" spans="1:8" ht="15" customHeight="1" x14ac:dyDescent="0.3">
      <c r="A11" s="180" t="s">
        <v>2</v>
      </c>
      <c r="B11" s="180"/>
      <c r="C11" s="180"/>
      <c r="D11" s="180"/>
      <c r="E11" s="180"/>
      <c r="F11" s="180"/>
      <c r="G11" s="180"/>
      <c r="H11" s="180"/>
    </row>
    <row r="12" spans="1:8" ht="19.2" customHeight="1" x14ac:dyDescent="0.3">
      <c r="A12" s="180"/>
      <c r="B12" s="180"/>
      <c r="C12" s="180"/>
      <c r="D12" s="180"/>
      <c r="E12" s="180"/>
      <c r="F12" s="180"/>
      <c r="G12" s="180"/>
      <c r="H12" s="180"/>
    </row>
    <row r="13" spans="1:8" ht="15" customHeight="1" x14ac:dyDescent="0.3">
      <c r="A13" s="180" t="s">
        <v>3</v>
      </c>
      <c r="B13" s="180"/>
      <c r="C13" s="180"/>
      <c r="D13" s="180"/>
      <c r="E13" s="180"/>
      <c r="F13" s="180"/>
      <c r="G13" s="180"/>
      <c r="H13" s="180"/>
    </row>
    <row r="14" spans="1:8" ht="15" customHeight="1" x14ac:dyDescent="0.3">
      <c r="A14" s="180"/>
      <c r="B14" s="180"/>
      <c r="C14" s="180"/>
      <c r="D14" s="180"/>
      <c r="E14" s="180"/>
      <c r="F14" s="180"/>
      <c r="G14" s="180"/>
      <c r="H14" s="180"/>
    </row>
    <row r="15" spans="1:8" ht="18.75" customHeight="1" x14ac:dyDescent="0.3">
      <c r="A15" s="180" t="s">
        <v>4</v>
      </c>
      <c r="B15" s="180"/>
      <c r="C15" s="180"/>
      <c r="D15" s="180"/>
      <c r="E15" s="180"/>
      <c r="F15" s="180"/>
      <c r="G15" s="180"/>
      <c r="H15" s="180"/>
    </row>
    <row r="16" spans="1:8" ht="15" customHeight="1" x14ac:dyDescent="0.3">
      <c r="A16" s="188" t="s">
        <v>5</v>
      </c>
      <c r="B16" s="180" t="s">
        <v>6</v>
      </c>
      <c r="C16" s="180"/>
      <c r="D16" s="180"/>
      <c r="E16" s="180"/>
      <c r="F16" s="180"/>
      <c r="G16" s="180"/>
      <c r="H16" s="180"/>
    </row>
    <row r="17" spans="1:8" ht="15" customHeight="1" x14ac:dyDescent="0.3">
      <c r="A17" s="188"/>
      <c r="B17" s="180"/>
      <c r="C17" s="180"/>
      <c r="D17" s="180"/>
      <c r="E17" s="180"/>
      <c r="F17" s="180"/>
      <c r="G17" s="180"/>
      <c r="H17" s="180"/>
    </row>
    <row r="18" spans="1:8" ht="15" customHeight="1" x14ac:dyDescent="0.3">
      <c r="A18" s="23"/>
      <c r="B18" s="180"/>
      <c r="C18" s="180"/>
      <c r="D18" s="180"/>
      <c r="E18" s="180"/>
      <c r="F18" s="180"/>
      <c r="G18" s="180"/>
      <c r="H18" s="180"/>
    </row>
    <row r="19" spans="1:8" ht="15" customHeight="1" x14ac:dyDescent="0.3">
      <c r="A19" s="23"/>
      <c r="B19" s="180"/>
      <c r="C19" s="180"/>
      <c r="D19" s="180"/>
      <c r="E19" s="180"/>
      <c r="F19" s="180"/>
      <c r="G19" s="180"/>
      <c r="H19" s="180"/>
    </row>
    <row r="20" spans="1:8" ht="18.600000000000001" customHeight="1" x14ac:dyDescent="0.3">
      <c r="A20" s="173" t="s">
        <v>7</v>
      </c>
      <c r="B20" s="180" t="s">
        <v>8</v>
      </c>
      <c r="C20" s="180"/>
      <c r="D20" s="180"/>
      <c r="E20" s="180"/>
      <c r="F20" s="180"/>
      <c r="G20" s="180"/>
      <c r="H20" s="180"/>
    </row>
    <row r="21" spans="1:8" ht="15" customHeight="1" x14ac:dyDescent="0.3">
      <c r="A21" s="174"/>
      <c r="B21" s="180"/>
      <c r="C21" s="180"/>
      <c r="D21" s="180"/>
      <c r="E21" s="180"/>
      <c r="F21" s="180"/>
      <c r="G21" s="180"/>
      <c r="H21" s="180"/>
    </row>
    <row r="22" spans="1:8" ht="19.2" customHeight="1" x14ac:dyDescent="0.3">
      <c r="A22" s="174"/>
      <c r="B22" s="180"/>
      <c r="C22" s="180"/>
      <c r="D22" s="180"/>
      <c r="E22" s="180"/>
      <c r="F22" s="180"/>
      <c r="G22" s="180"/>
      <c r="H22" s="180"/>
    </row>
    <row r="23" spans="1:8" ht="15" customHeight="1" x14ac:dyDescent="0.3">
      <c r="A23" s="173" t="s">
        <v>9</v>
      </c>
      <c r="B23" s="180" t="s">
        <v>10</v>
      </c>
      <c r="C23" s="180"/>
      <c r="D23" s="180"/>
      <c r="E23" s="180"/>
      <c r="F23" s="180"/>
      <c r="G23" s="180"/>
      <c r="H23" s="180"/>
    </row>
    <row r="24" spans="1:8" ht="15" customHeight="1" x14ac:dyDescent="0.3">
      <c r="A24" s="23"/>
      <c r="B24" s="180"/>
      <c r="C24" s="180"/>
      <c r="D24" s="180"/>
      <c r="E24" s="180"/>
      <c r="F24" s="180"/>
      <c r="G24" s="180"/>
      <c r="H24" s="180"/>
    </row>
    <row r="25" spans="1:8" ht="15" customHeight="1" x14ac:dyDescent="0.3">
      <c r="A25" s="173" t="s">
        <v>11</v>
      </c>
      <c r="B25" s="180" t="s">
        <v>12</v>
      </c>
      <c r="C25" s="180"/>
      <c r="D25" s="180"/>
      <c r="E25" s="180"/>
      <c r="F25" s="180"/>
      <c r="G25" s="180"/>
      <c r="H25" s="180"/>
    </row>
    <row r="26" spans="1:8" ht="15" customHeight="1" x14ac:dyDescent="0.3">
      <c r="A26" s="23"/>
      <c r="B26" s="180"/>
      <c r="C26" s="180"/>
      <c r="D26" s="180"/>
      <c r="E26" s="180"/>
      <c r="F26" s="180"/>
      <c r="G26" s="180"/>
      <c r="H26" s="180"/>
    </row>
    <row r="27" spans="1:8" ht="15" customHeight="1" x14ac:dyDescent="0.3">
      <c r="A27" s="173" t="s">
        <v>13</v>
      </c>
      <c r="B27" s="180" t="s">
        <v>14</v>
      </c>
      <c r="C27" s="180"/>
      <c r="D27" s="180"/>
      <c r="E27" s="180"/>
      <c r="F27" s="180"/>
      <c r="G27" s="180"/>
      <c r="H27" s="180"/>
    </row>
    <row r="28" spans="1:8" ht="18" customHeight="1" x14ac:dyDescent="0.3">
      <c r="B28" s="180"/>
      <c r="C28" s="180"/>
      <c r="D28" s="180"/>
      <c r="E28" s="180"/>
      <c r="F28" s="180"/>
      <c r="G28" s="180"/>
      <c r="H28" s="180"/>
    </row>
    <row r="29" spans="1:8" ht="15" customHeight="1" x14ac:dyDescent="0.3">
      <c r="A29" s="180" t="s">
        <v>15</v>
      </c>
      <c r="B29" s="180"/>
      <c r="C29" s="180"/>
      <c r="D29" s="180"/>
      <c r="E29" s="180"/>
      <c r="F29" s="180"/>
      <c r="G29" s="180"/>
      <c r="H29" s="180"/>
    </row>
    <row r="30" spans="1:8" ht="15" customHeight="1" x14ac:dyDescent="0.3">
      <c r="A30" s="180"/>
      <c r="B30" s="180"/>
      <c r="C30" s="180"/>
      <c r="D30" s="180"/>
      <c r="E30" s="180"/>
      <c r="F30" s="180"/>
      <c r="G30" s="180"/>
      <c r="H30" s="180"/>
    </row>
    <row r="31" spans="1:8" ht="15" customHeight="1" x14ac:dyDescent="0.3">
      <c r="B31" s="172"/>
      <c r="C31" s="172"/>
      <c r="D31" s="172"/>
      <c r="E31" s="172"/>
      <c r="F31" s="172"/>
      <c r="G31" s="172"/>
      <c r="H31" s="172"/>
    </row>
    <row r="32" spans="1:8" ht="15" customHeight="1" x14ac:dyDescent="0.3">
      <c r="B32" s="172"/>
      <c r="C32" s="172"/>
      <c r="D32" s="172"/>
      <c r="E32" s="172"/>
      <c r="F32" s="172"/>
      <c r="G32" s="172"/>
      <c r="H32" s="172"/>
    </row>
    <row r="33" spans="1:8" ht="15" customHeight="1" x14ac:dyDescent="0.3">
      <c r="B33" s="174"/>
      <c r="C33" s="174"/>
      <c r="D33" s="174"/>
      <c r="E33" s="174"/>
      <c r="F33" s="174"/>
      <c r="G33" s="174"/>
      <c r="H33" s="174"/>
    </row>
    <row r="34" spans="1:8" ht="18.75" customHeight="1" x14ac:dyDescent="0.35">
      <c r="A34" s="3" t="s">
        <v>16</v>
      </c>
    </row>
    <row r="35" spans="1:8" ht="18.600000000000001" thickBot="1" x14ac:dyDescent="0.4">
      <c r="A35" s="3"/>
    </row>
    <row r="36" spans="1:8" ht="49.95" customHeight="1" thickBot="1" x14ac:dyDescent="0.35">
      <c r="A36" s="181" t="s">
        <v>17</v>
      </c>
      <c r="B36" s="182"/>
      <c r="C36" s="182"/>
      <c r="D36" s="183"/>
      <c r="E36" s="63"/>
      <c r="F36" s="63"/>
    </row>
    <row r="37" spans="1:8" s="4" customFormat="1" ht="28.8" x14ac:dyDescent="0.3">
      <c r="A37" s="6" t="s">
        <v>18</v>
      </c>
      <c r="B37" s="17" t="s">
        <v>19</v>
      </c>
      <c r="C37" s="7" t="s">
        <v>20</v>
      </c>
      <c r="D37" s="9" t="s">
        <v>21</v>
      </c>
    </row>
    <row r="38" spans="1:8" x14ac:dyDescent="0.3">
      <c r="A38" s="10" t="s">
        <v>22</v>
      </c>
      <c r="B38" s="16">
        <f>SUM(C38:D38)</f>
        <v>330</v>
      </c>
      <c r="C38" s="5">
        <v>216</v>
      </c>
      <c r="D38" s="11">
        <v>114</v>
      </c>
    </row>
    <row r="39" spans="1:8" x14ac:dyDescent="0.3">
      <c r="A39" s="10" t="s">
        <v>23</v>
      </c>
      <c r="B39" s="16">
        <f t="shared" ref="B39:B40" si="0">SUM(C39:D39)</f>
        <v>713</v>
      </c>
      <c r="C39" s="5">
        <v>466</v>
      </c>
      <c r="D39" s="11">
        <v>247</v>
      </c>
    </row>
    <row r="40" spans="1:8" x14ac:dyDescent="0.3">
      <c r="A40" s="10" t="s">
        <v>24</v>
      </c>
      <c r="B40" s="16">
        <f t="shared" si="0"/>
        <v>1908</v>
      </c>
      <c r="C40" s="5">
        <v>1248</v>
      </c>
      <c r="D40" s="11">
        <v>660</v>
      </c>
    </row>
    <row r="41" spans="1:8" ht="15" thickBot="1" x14ac:dyDescent="0.35">
      <c r="A41" s="12" t="s">
        <v>25</v>
      </c>
      <c r="B41" s="18">
        <f>SUM(C41:D41)</f>
        <v>648</v>
      </c>
      <c r="C41" s="13">
        <v>424</v>
      </c>
      <c r="D41" s="14">
        <v>224</v>
      </c>
    </row>
    <row r="42" spans="1:8" ht="15" thickBot="1" x14ac:dyDescent="0.35"/>
    <row r="43" spans="1:8" ht="31.95" customHeight="1" thickBot="1" x14ac:dyDescent="0.35">
      <c r="A43" s="181" t="s">
        <v>26</v>
      </c>
      <c r="B43" s="185"/>
      <c r="C43" s="185"/>
      <c r="D43" s="185"/>
      <c r="E43" s="186"/>
      <c r="F43" s="64"/>
      <c r="G43" s="64"/>
    </row>
    <row r="44" spans="1:8" s="4" customFormat="1" ht="28.8" x14ac:dyDescent="0.3">
      <c r="A44" s="6" t="s">
        <v>18</v>
      </c>
      <c r="B44" s="17" t="s">
        <v>19</v>
      </c>
      <c r="C44" s="7" t="s">
        <v>20</v>
      </c>
      <c r="D44" s="8" t="s">
        <v>21</v>
      </c>
      <c r="E44" s="9" t="s">
        <v>27</v>
      </c>
    </row>
    <row r="45" spans="1:8" x14ac:dyDescent="0.3">
      <c r="A45" s="10" t="s">
        <v>22</v>
      </c>
      <c r="B45" s="16">
        <f>SUM(C45:E45)</f>
        <v>997</v>
      </c>
      <c r="C45" s="5">
        <v>216</v>
      </c>
      <c r="D45" s="5">
        <v>114</v>
      </c>
      <c r="E45" s="11">
        <v>667</v>
      </c>
    </row>
    <row r="46" spans="1:8" x14ac:dyDescent="0.3">
      <c r="A46" s="10" t="s">
        <v>23</v>
      </c>
      <c r="B46" s="16">
        <f t="shared" ref="B46:B48" si="1">SUM(C46:E46)</f>
        <v>2155</v>
      </c>
      <c r="C46" s="5">
        <v>466</v>
      </c>
      <c r="D46" s="5">
        <v>247</v>
      </c>
      <c r="E46" s="11">
        <v>1442</v>
      </c>
    </row>
    <row r="47" spans="1:8" x14ac:dyDescent="0.3">
      <c r="A47" s="10" t="s">
        <v>24</v>
      </c>
      <c r="B47" s="16">
        <f t="shared" si="1"/>
        <v>5767</v>
      </c>
      <c r="C47" s="5">
        <v>1248</v>
      </c>
      <c r="D47" s="5">
        <v>660</v>
      </c>
      <c r="E47" s="11">
        <v>3859</v>
      </c>
    </row>
    <row r="48" spans="1:8" ht="15" thickBot="1" x14ac:dyDescent="0.35">
      <c r="A48" s="12" t="s">
        <v>25</v>
      </c>
      <c r="B48" s="18">
        <f t="shared" si="1"/>
        <v>1958</v>
      </c>
      <c r="C48" s="13">
        <v>424</v>
      </c>
      <c r="D48" s="13">
        <v>224</v>
      </c>
      <c r="E48" s="14">
        <v>1310</v>
      </c>
    </row>
    <row r="50" spans="1:8" x14ac:dyDescent="0.3">
      <c r="A50" s="21" t="s">
        <v>28</v>
      </c>
    </row>
    <row r="60" spans="1:8" ht="18" x14ac:dyDescent="0.35">
      <c r="A60" s="3" t="s">
        <v>29</v>
      </c>
    </row>
    <row r="61" spans="1:8" ht="18.600000000000001" thickBot="1" x14ac:dyDescent="0.4">
      <c r="A61" s="3"/>
    </row>
    <row r="62" spans="1:8" ht="16.2" thickBot="1" x14ac:dyDescent="0.35">
      <c r="A62" s="184" t="s">
        <v>30</v>
      </c>
      <c r="B62" s="185"/>
      <c r="C62" s="185"/>
      <c r="D62" s="185"/>
      <c r="E62" s="185"/>
      <c r="F62" s="65"/>
      <c r="G62" s="64"/>
      <c r="H62" s="64"/>
    </row>
    <row r="63" spans="1:8" s="4" customFormat="1" ht="28.8" x14ac:dyDescent="0.3">
      <c r="A63" s="6" t="s">
        <v>31</v>
      </c>
      <c r="B63" s="17" t="s">
        <v>19</v>
      </c>
      <c r="C63" s="7" t="s">
        <v>32</v>
      </c>
      <c r="D63" s="8" t="s">
        <v>21</v>
      </c>
      <c r="E63" s="66" t="s">
        <v>33</v>
      </c>
    </row>
    <row r="64" spans="1:8" x14ac:dyDescent="0.3">
      <c r="A64" s="10" t="s">
        <v>34</v>
      </c>
      <c r="B64" s="16">
        <f t="shared" ref="B64:B78" si="2">SUM(C64:E64)</f>
        <v>585</v>
      </c>
      <c r="C64" s="5">
        <v>171</v>
      </c>
      <c r="D64" s="5">
        <v>77</v>
      </c>
      <c r="E64" s="67">
        <v>337</v>
      </c>
    </row>
    <row r="65" spans="1:8" x14ac:dyDescent="0.3">
      <c r="A65" s="10" t="s">
        <v>35</v>
      </c>
      <c r="B65" s="16">
        <f t="shared" si="2"/>
        <v>807</v>
      </c>
      <c r="C65" s="5">
        <v>236</v>
      </c>
      <c r="D65" s="5">
        <v>106</v>
      </c>
      <c r="E65" s="67">
        <v>465</v>
      </c>
    </row>
    <row r="66" spans="1:8" x14ac:dyDescent="0.3">
      <c r="A66" s="10" t="s">
        <v>36</v>
      </c>
      <c r="B66" s="16">
        <f t="shared" si="2"/>
        <v>979</v>
      </c>
      <c r="C66" s="5">
        <v>286</v>
      </c>
      <c r="D66" s="5">
        <v>128</v>
      </c>
      <c r="E66" s="67">
        <v>565</v>
      </c>
    </row>
    <row r="67" spans="1:8" x14ac:dyDescent="0.3">
      <c r="A67" s="10" t="s">
        <v>37</v>
      </c>
      <c r="B67" s="16">
        <f t="shared" si="2"/>
        <v>1128</v>
      </c>
      <c r="C67" s="5">
        <v>330</v>
      </c>
      <c r="D67" s="5">
        <v>147</v>
      </c>
      <c r="E67" s="67">
        <v>651</v>
      </c>
    </row>
    <row r="68" spans="1:8" x14ac:dyDescent="0.3">
      <c r="A68" s="10" t="s">
        <v>38</v>
      </c>
      <c r="B68" s="16">
        <f t="shared" si="2"/>
        <v>1243</v>
      </c>
      <c r="C68" s="5">
        <v>363</v>
      </c>
      <c r="D68" s="5">
        <v>163</v>
      </c>
      <c r="E68" s="67">
        <v>717</v>
      </c>
    </row>
    <row r="69" spans="1:8" x14ac:dyDescent="0.3">
      <c r="A69" s="10" t="s">
        <v>39</v>
      </c>
      <c r="B69" s="16">
        <f t="shared" si="2"/>
        <v>1349</v>
      </c>
      <c r="C69" s="5">
        <v>394</v>
      </c>
      <c r="D69" s="5">
        <v>177</v>
      </c>
      <c r="E69" s="67">
        <v>778</v>
      </c>
    </row>
    <row r="70" spans="1:8" x14ac:dyDescent="0.3">
      <c r="A70" s="10" t="s">
        <v>40</v>
      </c>
      <c r="B70" s="16">
        <f t="shared" si="2"/>
        <v>1444</v>
      </c>
      <c r="C70" s="5">
        <v>422</v>
      </c>
      <c r="D70" s="5">
        <v>189</v>
      </c>
      <c r="E70" s="67">
        <v>833</v>
      </c>
    </row>
    <row r="71" spans="1:8" x14ac:dyDescent="0.3">
      <c r="A71" s="10" t="s">
        <v>41</v>
      </c>
      <c r="B71" s="16">
        <f t="shared" si="2"/>
        <v>1523</v>
      </c>
      <c r="C71" s="5">
        <v>445</v>
      </c>
      <c r="D71" s="5">
        <v>199</v>
      </c>
      <c r="E71" s="67">
        <v>879</v>
      </c>
    </row>
    <row r="72" spans="1:8" x14ac:dyDescent="0.3">
      <c r="A72" s="10" t="s">
        <v>42</v>
      </c>
      <c r="B72" s="16">
        <f t="shared" si="2"/>
        <v>1602</v>
      </c>
      <c r="C72" s="5">
        <v>468</v>
      </c>
      <c r="D72" s="5">
        <v>210</v>
      </c>
      <c r="E72" s="67">
        <v>924</v>
      </c>
    </row>
    <row r="73" spans="1:8" x14ac:dyDescent="0.3">
      <c r="A73" s="10" t="s">
        <v>43</v>
      </c>
      <c r="B73" s="16">
        <f t="shared" si="2"/>
        <v>1666</v>
      </c>
      <c r="C73" s="5">
        <v>487</v>
      </c>
      <c r="D73" s="5">
        <v>218</v>
      </c>
      <c r="E73" s="67">
        <v>961</v>
      </c>
    </row>
    <row r="74" spans="1:8" x14ac:dyDescent="0.3">
      <c r="A74" s="10" t="s">
        <v>44</v>
      </c>
      <c r="B74" s="16">
        <f t="shared" si="2"/>
        <v>1728</v>
      </c>
      <c r="C74" s="5">
        <v>505</v>
      </c>
      <c r="D74" s="5">
        <v>226</v>
      </c>
      <c r="E74" s="67">
        <v>997</v>
      </c>
    </row>
    <row r="75" spans="1:8" x14ac:dyDescent="0.3">
      <c r="A75" s="10" t="s">
        <v>45</v>
      </c>
      <c r="B75" s="16">
        <f t="shared" si="2"/>
        <v>1787</v>
      </c>
      <c r="C75" s="5">
        <v>522</v>
      </c>
      <c r="D75" s="5">
        <v>234</v>
      </c>
      <c r="E75" s="67">
        <v>1031</v>
      </c>
    </row>
    <row r="76" spans="1:8" x14ac:dyDescent="0.3">
      <c r="A76" s="10" t="s">
        <v>46</v>
      </c>
      <c r="B76" s="16">
        <f t="shared" si="2"/>
        <v>1845</v>
      </c>
      <c r="C76" s="5">
        <v>539</v>
      </c>
      <c r="D76" s="5">
        <v>242</v>
      </c>
      <c r="E76" s="67">
        <v>1064</v>
      </c>
    </row>
    <row r="77" spans="1:8" x14ac:dyDescent="0.3">
      <c r="A77" s="10" t="s">
        <v>47</v>
      </c>
      <c r="B77" s="16">
        <f t="shared" si="2"/>
        <v>1892</v>
      </c>
      <c r="C77" s="5">
        <v>553</v>
      </c>
      <c r="D77" s="5">
        <v>248</v>
      </c>
      <c r="E77" s="67">
        <v>1091</v>
      </c>
    </row>
    <row r="78" spans="1:8" ht="15" thickBot="1" x14ac:dyDescent="0.35">
      <c r="A78" s="12" t="s">
        <v>48</v>
      </c>
      <c r="B78" s="18">
        <f t="shared" si="2"/>
        <v>1940</v>
      </c>
      <c r="C78" s="13">
        <v>567</v>
      </c>
      <c r="D78" s="13">
        <v>254</v>
      </c>
      <c r="E78" s="68">
        <v>1119</v>
      </c>
    </row>
    <row r="79" spans="1:8" ht="15" thickBot="1" x14ac:dyDescent="0.35"/>
    <row r="80" spans="1:8" ht="16.2" thickBot="1" x14ac:dyDescent="0.35">
      <c r="A80" s="184" t="s">
        <v>49</v>
      </c>
      <c r="B80" s="185"/>
      <c r="C80" s="185"/>
      <c r="D80" s="185"/>
      <c r="E80" s="186"/>
      <c r="F80" s="64"/>
      <c r="G80" s="64"/>
      <c r="H80" s="64"/>
    </row>
    <row r="81" spans="1:5" s="4" customFormat="1" ht="28.8" x14ac:dyDescent="0.3">
      <c r="A81" s="6" t="s">
        <v>31</v>
      </c>
      <c r="B81" s="17" t="s">
        <v>19</v>
      </c>
      <c r="C81" s="7" t="s">
        <v>32</v>
      </c>
      <c r="D81" s="8" t="s">
        <v>21</v>
      </c>
      <c r="E81" s="66" t="s">
        <v>33</v>
      </c>
    </row>
    <row r="82" spans="1:5" x14ac:dyDescent="0.3">
      <c r="A82" s="10" t="s">
        <v>34</v>
      </c>
      <c r="B82" s="16">
        <f t="shared" ref="B82:B96" si="3">SUM(C82:E82)</f>
        <v>348</v>
      </c>
      <c r="C82" s="5">
        <v>171</v>
      </c>
      <c r="D82" s="5">
        <v>77</v>
      </c>
      <c r="E82" s="67">
        <v>100</v>
      </c>
    </row>
    <row r="83" spans="1:5" x14ac:dyDescent="0.3">
      <c r="A83" s="10" t="s">
        <v>35</v>
      </c>
      <c r="B83" s="16">
        <f t="shared" si="3"/>
        <v>480</v>
      </c>
      <c r="C83" s="5">
        <v>236</v>
      </c>
      <c r="D83" s="5">
        <v>106</v>
      </c>
      <c r="E83" s="67">
        <v>138</v>
      </c>
    </row>
    <row r="84" spans="1:5" x14ac:dyDescent="0.3">
      <c r="A84" s="10" t="s">
        <v>36</v>
      </c>
      <c r="B84" s="16">
        <f t="shared" si="3"/>
        <v>581</v>
      </c>
      <c r="C84" s="5">
        <v>286</v>
      </c>
      <c r="D84" s="5">
        <v>128</v>
      </c>
      <c r="E84" s="67">
        <v>167</v>
      </c>
    </row>
    <row r="85" spans="1:5" x14ac:dyDescent="0.3">
      <c r="A85" s="10" t="s">
        <v>37</v>
      </c>
      <c r="B85" s="16">
        <f t="shared" si="3"/>
        <v>670</v>
      </c>
      <c r="C85" s="5">
        <v>330</v>
      </c>
      <c r="D85" s="5">
        <v>147</v>
      </c>
      <c r="E85" s="67">
        <v>193</v>
      </c>
    </row>
    <row r="86" spans="1:5" x14ac:dyDescent="0.3">
      <c r="A86" s="10" t="s">
        <v>38</v>
      </c>
      <c r="B86" s="16">
        <f t="shared" si="3"/>
        <v>738</v>
      </c>
      <c r="C86" s="5">
        <v>363</v>
      </c>
      <c r="D86" s="5">
        <v>163</v>
      </c>
      <c r="E86" s="67">
        <v>212</v>
      </c>
    </row>
    <row r="87" spans="1:5" x14ac:dyDescent="0.3">
      <c r="A87" s="10" t="s">
        <v>39</v>
      </c>
      <c r="B87" s="16">
        <f t="shared" si="3"/>
        <v>801</v>
      </c>
      <c r="C87" s="5">
        <v>394</v>
      </c>
      <c r="D87" s="5">
        <v>177</v>
      </c>
      <c r="E87" s="67">
        <v>230</v>
      </c>
    </row>
    <row r="88" spans="1:5" x14ac:dyDescent="0.3">
      <c r="A88" s="10" t="s">
        <v>40</v>
      </c>
      <c r="B88" s="16">
        <f t="shared" si="3"/>
        <v>858</v>
      </c>
      <c r="C88" s="5">
        <v>422</v>
      </c>
      <c r="D88" s="5">
        <v>189</v>
      </c>
      <c r="E88" s="67">
        <v>247</v>
      </c>
    </row>
    <row r="89" spans="1:5" x14ac:dyDescent="0.3">
      <c r="A89" s="10" t="s">
        <v>41</v>
      </c>
      <c r="B89" s="16">
        <f t="shared" si="3"/>
        <v>904</v>
      </c>
      <c r="C89" s="5">
        <v>445</v>
      </c>
      <c r="D89" s="5">
        <v>199</v>
      </c>
      <c r="E89" s="67">
        <v>260</v>
      </c>
    </row>
    <row r="90" spans="1:5" x14ac:dyDescent="0.3">
      <c r="A90" s="10" t="s">
        <v>42</v>
      </c>
      <c r="B90" s="16">
        <f t="shared" si="3"/>
        <v>952</v>
      </c>
      <c r="C90" s="5">
        <v>468</v>
      </c>
      <c r="D90" s="5">
        <v>210</v>
      </c>
      <c r="E90" s="67">
        <v>274</v>
      </c>
    </row>
    <row r="91" spans="1:5" x14ac:dyDescent="0.3">
      <c r="A91" s="10" t="s">
        <v>43</v>
      </c>
      <c r="B91" s="16">
        <f t="shared" si="3"/>
        <v>989</v>
      </c>
      <c r="C91" s="5">
        <v>487</v>
      </c>
      <c r="D91" s="5">
        <v>218</v>
      </c>
      <c r="E91" s="67">
        <v>284</v>
      </c>
    </row>
    <row r="92" spans="1:5" x14ac:dyDescent="0.3">
      <c r="A92" s="10" t="s">
        <v>44</v>
      </c>
      <c r="B92" s="16">
        <f t="shared" si="3"/>
        <v>1026</v>
      </c>
      <c r="C92" s="5">
        <v>505</v>
      </c>
      <c r="D92" s="5">
        <v>226</v>
      </c>
      <c r="E92" s="67">
        <v>295</v>
      </c>
    </row>
    <row r="93" spans="1:5" x14ac:dyDescent="0.3">
      <c r="A93" s="10" t="s">
        <v>45</v>
      </c>
      <c r="B93" s="16">
        <f t="shared" si="3"/>
        <v>1061</v>
      </c>
      <c r="C93" s="5">
        <v>522</v>
      </c>
      <c r="D93" s="5">
        <v>234</v>
      </c>
      <c r="E93" s="67">
        <v>305</v>
      </c>
    </row>
    <row r="94" spans="1:5" x14ac:dyDescent="0.3">
      <c r="A94" s="10" t="s">
        <v>46</v>
      </c>
      <c r="B94" s="16">
        <f t="shared" si="3"/>
        <v>1096</v>
      </c>
      <c r="C94" s="5">
        <v>539</v>
      </c>
      <c r="D94" s="5">
        <v>242</v>
      </c>
      <c r="E94" s="67">
        <v>315</v>
      </c>
    </row>
    <row r="95" spans="1:5" x14ac:dyDescent="0.3">
      <c r="A95" s="10" t="s">
        <v>47</v>
      </c>
      <c r="B95" s="16">
        <f t="shared" si="3"/>
        <v>1124</v>
      </c>
      <c r="C95" s="5">
        <v>553</v>
      </c>
      <c r="D95" s="5">
        <v>248</v>
      </c>
      <c r="E95" s="67">
        <v>323</v>
      </c>
    </row>
    <row r="96" spans="1:5" ht="15" thickBot="1" x14ac:dyDescent="0.35">
      <c r="A96" s="12" t="s">
        <v>48</v>
      </c>
      <c r="B96" s="18">
        <f t="shared" si="3"/>
        <v>1152</v>
      </c>
      <c r="C96" s="13">
        <v>567</v>
      </c>
      <c r="D96" s="13">
        <v>254</v>
      </c>
      <c r="E96" s="68">
        <v>331</v>
      </c>
    </row>
    <row r="97" spans="1:8" ht="15" thickBot="1" x14ac:dyDescent="0.35"/>
    <row r="98" spans="1:8" ht="35.25" customHeight="1" thickBot="1" x14ac:dyDescent="0.35">
      <c r="A98" s="181" t="s">
        <v>50</v>
      </c>
      <c r="B98" s="182"/>
      <c r="C98" s="182"/>
      <c r="D98" s="182"/>
      <c r="E98" s="183"/>
      <c r="F98" s="63"/>
      <c r="G98" s="63"/>
      <c r="H98" s="63"/>
    </row>
    <row r="99" spans="1:8" s="4" customFormat="1" ht="28.8" x14ac:dyDescent="0.3">
      <c r="A99" s="6" t="s">
        <v>31</v>
      </c>
      <c r="B99" s="17" t="s">
        <v>19</v>
      </c>
      <c r="C99" s="7" t="s">
        <v>32</v>
      </c>
      <c r="D99" s="8" t="s">
        <v>21</v>
      </c>
      <c r="E99" s="66" t="s">
        <v>33</v>
      </c>
    </row>
    <row r="100" spans="1:8" x14ac:dyDescent="0.3">
      <c r="A100" s="10" t="s">
        <v>34</v>
      </c>
      <c r="B100" s="16">
        <f t="shared" ref="B100:B114" si="4">SUM(C100:F100)</f>
        <v>670</v>
      </c>
      <c r="C100" s="5">
        <v>171</v>
      </c>
      <c r="D100" s="5">
        <v>77</v>
      </c>
      <c r="E100" s="67">
        <v>422</v>
      </c>
    </row>
    <row r="101" spans="1:8" x14ac:dyDescent="0.3">
      <c r="A101" s="10" t="s">
        <v>35</v>
      </c>
      <c r="B101" s="16">
        <f t="shared" si="4"/>
        <v>923</v>
      </c>
      <c r="C101" s="5">
        <v>236</v>
      </c>
      <c r="D101" s="5">
        <v>106</v>
      </c>
      <c r="E101" s="67">
        <v>581</v>
      </c>
    </row>
    <row r="102" spans="1:8" x14ac:dyDescent="0.3">
      <c r="A102" s="10" t="s">
        <v>36</v>
      </c>
      <c r="B102" s="16">
        <f t="shared" si="4"/>
        <v>1121</v>
      </c>
      <c r="C102" s="5">
        <v>286</v>
      </c>
      <c r="D102" s="5">
        <v>128</v>
      </c>
      <c r="E102" s="67">
        <v>707</v>
      </c>
    </row>
    <row r="103" spans="1:8" x14ac:dyDescent="0.3">
      <c r="A103" s="10" t="s">
        <v>37</v>
      </c>
      <c r="B103" s="16">
        <f t="shared" si="4"/>
        <v>1290</v>
      </c>
      <c r="C103" s="5">
        <v>330</v>
      </c>
      <c r="D103" s="5">
        <v>147</v>
      </c>
      <c r="E103" s="67">
        <v>813</v>
      </c>
    </row>
    <row r="104" spans="1:8" x14ac:dyDescent="0.3">
      <c r="A104" s="10" t="s">
        <v>38</v>
      </c>
      <c r="B104" s="16">
        <f t="shared" si="4"/>
        <v>1423</v>
      </c>
      <c r="C104" s="5">
        <v>363</v>
      </c>
      <c r="D104" s="5">
        <v>163</v>
      </c>
      <c r="E104" s="67">
        <v>897</v>
      </c>
    </row>
    <row r="105" spans="1:8" x14ac:dyDescent="0.3">
      <c r="A105" s="10" t="s">
        <v>39</v>
      </c>
      <c r="B105" s="16">
        <f t="shared" si="4"/>
        <v>1544</v>
      </c>
      <c r="C105" s="5">
        <v>394</v>
      </c>
      <c r="D105" s="5">
        <v>177</v>
      </c>
      <c r="E105" s="67">
        <v>973</v>
      </c>
    </row>
    <row r="106" spans="1:8" x14ac:dyDescent="0.3">
      <c r="A106" s="10" t="s">
        <v>40</v>
      </c>
      <c r="B106" s="16">
        <f t="shared" si="4"/>
        <v>1652</v>
      </c>
      <c r="C106" s="5">
        <v>422</v>
      </c>
      <c r="D106" s="5">
        <v>189</v>
      </c>
      <c r="E106" s="67">
        <v>1041</v>
      </c>
    </row>
    <row r="107" spans="1:8" x14ac:dyDescent="0.3">
      <c r="A107" s="10" t="s">
        <v>41</v>
      </c>
      <c r="B107" s="16">
        <f t="shared" si="4"/>
        <v>1742</v>
      </c>
      <c r="C107" s="5">
        <v>445</v>
      </c>
      <c r="D107" s="5">
        <v>199</v>
      </c>
      <c r="E107" s="67">
        <v>1098</v>
      </c>
    </row>
    <row r="108" spans="1:8" x14ac:dyDescent="0.3">
      <c r="A108" s="10" t="s">
        <v>42</v>
      </c>
      <c r="B108" s="16">
        <f t="shared" si="4"/>
        <v>1833</v>
      </c>
      <c r="C108" s="5">
        <v>468</v>
      </c>
      <c r="D108" s="5">
        <v>210</v>
      </c>
      <c r="E108" s="67">
        <v>1155</v>
      </c>
    </row>
    <row r="109" spans="1:8" x14ac:dyDescent="0.3">
      <c r="A109" s="10" t="s">
        <v>43</v>
      </c>
      <c r="B109" s="16">
        <f t="shared" si="4"/>
        <v>1906</v>
      </c>
      <c r="C109" s="5">
        <v>487</v>
      </c>
      <c r="D109" s="5">
        <v>218</v>
      </c>
      <c r="E109" s="67">
        <v>1201</v>
      </c>
    </row>
    <row r="110" spans="1:8" x14ac:dyDescent="0.3">
      <c r="A110" s="10" t="s">
        <v>44</v>
      </c>
      <c r="B110" s="16">
        <f t="shared" si="4"/>
        <v>1977</v>
      </c>
      <c r="C110" s="5">
        <v>505</v>
      </c>
      <c r="D110" s="5">
        <v>226</v>
      </c>
      <c r="E110" s="67">
        <v>1246</v>
      </c>
    </row>
    <row r="111" spans="1:8" x14ac:dyDescent="0.3">
      <c r="A111" s="10" t="s">
        <v>45</v>
      </c>
      <c r="B111" s="16">
        <f t="shared" si="4"/>
        <v>2044</v>
      </c>
      <c r="C111" s="5">
        <v>522</v>
      </c>
      <c r="D111" s="5">
        <v>234</v>
      </c>
      <c r="E111" s="67">
        <v>1288</v>
      </c>
    </row>
    <row r="112" spans="1:8" x14ac:dyDescent="0.3">
      <c r="A112" s="10" t="s">
        <v>46</v>
      </c>
      <c r="B112" s="16">
        <f t="shared" si="4"/>
        <v>2111</v>
      </c>
      <c r="C112" s="5">
        <v>539</v>
      </c>
      <c r="D112" s="5">
        <v>242</v>
      </c>
      <c r="E112" s="67">
        <v>1330</v>
      </c>
    </row>
    <row r="113" spans="1:8" x14ac:dyDescent="0.3">
      <c r="A113" s="10" t="s">
        <v>47</v>
      </c>
      <c r="B113" s="16">
        <f t="shared" si="4"/>
        <v>2165</v>
      </c>
      <c r="C113" s="5">
        <v>553</v>
      </c>
      <c r="D113" s="5">
        <v>248</v>
      </c>
      <c r="E113" s="67">
        <v>1364</v>
      </c>
    </row>
    <row r="114" spans="1:8" ht="15" thickBot="1" x14ac:dyDescent="0.35">
      <c r="A114" s="12" t="s">
        <v>48</v>
      </c>
      <c r="B114" s="18">
        <f t="shared" si="4"/>
        <v>2219</v>
      </c>
      <c r="C114" s="13">
        <v>567</v>
      </c>
      <c r="D114" s="13">
        <v>254</v>
      </c>
      <c r="E114" s="68">
        <v>1398</v>
      </c>
    </row>
    <row r="116" spans="1:8" ht="15" thickBot="1" x14ac:dyDescent="0.35"/>
    <row r="117" spans="1:8" ht="34.5" customHeight="1" thickBot="1" x14ac:dyDescent="0.35">
      <c r="A117" s="181" t="s">
        <v>51</v>
      </c>
      <c r="B117" s="182"/>
      <c r="C117" s="182"/>
      <c r="D117" s="182"/>
      <c r="E117" s="182"/>
      <c r="F117" s="183"/>
      <c r="G117" s="64"/>
      <c r="H117" s="64"/>
    </row>
    <row r="118" spans="1:8" s="4" customFormat="1" ht="28.8" x14ac:dyDescent="0.3">
      <c r="A118" s="6" t="s">
        <v>31</v>
      </c>
      <c r="B118" s="17" t="s">
        <v>19</v>
      </c>
      <c r="C118" s="7" t="s">
        <v>32</v>
      </c>
      <c r="D118" s="8" t="s">
        <v>21</v>
      </c>
      <c r="E118" s="8" t="s">
        <v>33</v>
      </c>
      <c r="F118" s="66" t="s">
        <v>52</v>
      </c>
    </row>
    <row r="119" spans="1:8" x14ac:dyDescent="0.3">
      <c r="A119" s="10" t="s">
        <v>34</v>
      </c>
      <c r="B119" s="16">
        <f t="shared" ref="B119:B133" si="5">SUM(C119:F119)</f>
        <v>1572</v>
      </c>
      <c r="C119" s="5">
        <v>171</v>
      </c>
      <c r="D119" s="5">
        <v>77</v>
      </c>
      <c r="E119" s="5">
        <v>422</v>
      </c>
      <c r="F119" s="69">
        <v>902</v>
      </c>
    </row>
    <row r="120" spans="1:8" x14ac:dyDescent="0.3">
      <c r="A120" s="10" t="s">
        <v>35</v>
      </c>
      <c r="B120" s="16">
        <f t="shared" si="5"/>
        <v>2167</v>
      </c>
      <c r="C120" s="5">
        <v>236</v>
      </c>
      <c r="D120" s="5">
        <v>106</v>
      </c>
      <c r="E120" s="5">
        <v>581</v>
      </c>
      <c r="F120" s="69">
        <v>1244</v>
      </c>
    </row>
    <row r="121" spans="1:8" x14ac:dyDescent="0.3">
      <c r="A121" s="10" t="s">
        <v>36</v>
      </c>
      <c r="B121" s="16">
        <f t="shared" si="5"/>
        <v>2633</v>
      </c>
      <c r="C121" s="5">
        <v>286</v>
      </c>
      <c r="D121" s="5">
        <v>128</v>
      </c>
      <c r="E121" s="5">
        <v>707</v>
      </c>
      <c r="F121" s="69">
        <v>1512</v>
      </c>
    </row>
    <row r="122" spans="1:8" x14ac:dyDescent="0.3">
      <c r="A122" s="10" t="s">
        <v>37</v>
      </c>
      <c r="B122" s="16">
        <f t="shared" si="5"/>
        <v>3030</v>
      </c>
      <c r="C122" s="5">
        <v>330</v>
      </c>
      <c r="D122" s="5">
        <v>147</v>
      </c>
      <c r="E122" s="5">
        <v>813</v>
      </c>
      <c r="F122" s="69">
        <v>1740</v>
      </c>
    </row>
    <row r="123" spans="1:8" x14ac:dyDescent="0.3">
      <c r="A123" s="10" t="s">
        <v>38</v>
      </c>
      <c r="B123" s="16">
        <f t="shared" si="5"/>
        <v>3342</v>
      </c>
      <c r="C123" s="5">
        <v>363</v>
      </c>
      <c r="D123" s="5">
        <v>163</v>
      </c>
      <c r="E123" s="5">
        <v>897</v>
      </c>
      <c r="F123" s="69">
        <v>1919</v>
      </c>
    </row>
    <row r="124" spans="1:8" x14ac:dyDescent="0.3">
      <c r="A124" s="10" t="s">
        <v>39</v>
      </c>
      <c r="B124" s="16">
        <f t="shared" si="5"/>
        <v>3625</v>
      </c>
      <c r="C124" s="5">
        <v>394</v>
      </c>
      <c r="D124" s="5">
        <v>177</v>
      </c>
      <c r="E124" s="5">
        <v>973</v>
      </c>
      <c r="F124" s="69">
        <v>2081</v>
      </c>
    </row>
    <row r="125" spans="1:8" x14ac:dyDescent="0.3">
      <c r="A125" s="10" t="s">
        <v>40</v>
      </c>
      <c r="B125" s="16">
        <f t="shared" si="5"/>
        <v>3880</v>
      </c>
      <c r="C125" s="5">
        <v>422</v>
      </c>
      <c r="D125" s="5">
        <v>189</v>
      </c>
      <c r="E125" s="5">
        <v>1041</v>
      </c>
      <c r="F125" s="69">
        <v>2228</v>
      </c>
    </row>
    <row r="126" spans="1:8" x14ac:dyDescent="0.3">
      <c r="A126" s="10" t="s">
        <v>41</v>
      </c>
      <c r="B126" s="16">
        <f t="shared" si="5"/>
        <v>4092</v>
      </c>
      <c r="C126" s="5">
        <v>445</v>
      </c>
      <c r="D126" s="5">
        <v>199</v>
      </c>
      <c r="E126" s="5">
        <v>1098</v>
      </c>
      <c r="F126" s="69">
        <v>2350</v>
      </c>
    </row>
    <row r="127" spans="1:8" x14ac:dyDescent="0.3">
      <c r="A127" s="10" t="s">
        <v>42</v>
      </c>
      <c r="B127" s="16">
        <f t="shared" si="5"/>
        <v>4305</v>
      </c>
      <c r="C127" s="5">
        <v>468</v>
      </c>
      <c r="D127" s="5">
        <v>210</v>
      </c>
      <c r="E127" s="5">
        <v>1155</v>
      </c>
      <c r="F127" s="69">
        <v>2472</v>
      </c>
    </row>
    <row r="128" spans="1:8" x14ac:dyDescent="0.3">
      <c r="A128" s="10" t="s">
        <v>43</v>
      </c>
      <c r="B128" s="16">
        <f t="shared" si="5"/>
        <v>4475</v>
      </c>
      <c r="C128" s="5">
        <v>487</v>
      </c>
      <c r="D128" s="5">
        <v>218</v>
      </c>
      <c r="E128" s="5">
        <v>1201</v>
      </c>
      <c r="F128" s="69">
        <v>2569</v>
      </c>
    </row>
    <row r="129" spans="1:8" x14ac:dyDescent="0.3">
      <c r="A129" s="10" t="s">
        <v>44</v>
      </c>
      <c r="B129" s="16">
        <f t="shared" si="5"/>
        <v>4644</v>
      </c>
      <c r="C129" s="5">
        <v>505</v>
      </c>
      <c r="D129" s="5">
        <v>226</v>
      </c>
      <c r="E129" s="5">
        <v>1246</v>
      </c>
      <c r="F129" s="69">
        <v>2667</v>
      </c>
    </row>
    <row r="130" spans="1:8" x14ac:dyDescent="0.3">
      <c r="A130" s="10" t="s">
        <v>45</v>
      </c>
      <c r="B130" s="16">
        <f t="shared" si="5"/>
        <v>4800</v>
      </c>
      <c r="C130" s="5">
        <v>522</v>
      </c>
      <c r="D130" s="5">
        <v>234</v>
      </c>
      <c r="E130" s="5">
        <v>1288</v>
      </c>
      <c r="F130" s="69">
        <v>2756</v>
      </c>
    </row>
    <row r="131" spans="1:8" x14ac:dyDescent="0.3">
      <c r="A131" s="10" t="s">
        <v>46</v>
      </c>
      <c r="B131" s="16">
        <f t="shared" si="5"/>
        <v>4957</v>
      </c>
      <c r="C131" s="5">
        <v>539</v>
      </c>
      <c r="D131" s="5">
        <v>242</v>
      </c>
      <c r="E131" s="5">
        <v>1330</v>
      </c>
      <c r="F131" s="69">
        <v>2846</v>
      </c>
    </row>
    <row r="132" spans="1:8" x14ac:dyDescent="0.3">
      <c r="A132" s="10" t="s">
        <v>47</v>
      </c>
      <c r="B132" s="16">
        <f t="shared" si="5"/>
        <v>5084</v>
      </c>
      <c r="C132" s="5">
        <v>553</v>
      </c>
      <c r="D132" s="5">
        <v>248</v>
      </c>
      <c r="E132" s="5">
        <v>1364</v>
      </c>
      <c r="F132" s="69">
        <v>2919</v>
      </c>
    </row>
    <row r="133" spans="1:8" ht="15" thickBot="1" x14ac:dyDescent="0.35">
      <c r="A133" s="12" t="s">
        <v>48</v>
      </c>
      <c r="B133" s="18">
        <f t="shared" si="5"/>
        <v>5211</v>
      </c>
      <c r="C133" s="13">
        <v>567</v>
      </c>
      <c r="D133" s="13">
        <v>254</v>
      </c>
      <c r="E133" s="13">
        <v>1398</v>
      </c>
      <c r="F133" s="70">
        <v>2992</v>
      </c>
    </row>
    <row r="134" spans="1:8" ht="15" thickBot="1" x14ac:dyDescent="0.35"/>
    <row r="135" spans="1:8" ht="16.2" thickBot="1" x14ac:dyDescent="0.35">
      <c r="A135" s="184" t="s">
        <v>53</v>
      </c>
      <c r="B135" s="185"/>
      <c r="C135" s="185"/>
      <c r="D135" s="185"/>
      <c r="E135" s="186"/>
      <c r="F135" s="64"/>
      <c r="G135" s="64"/>
      <c r="H135" s="64"/>
    </row>
    <row r="136" spans="1:8" s="4" customFormat="1" ht="28.8" x14ac:dyDescent="0.3">
      <c r="A136" s="6" t="s">
        <v>31</v>
      </c>
      <c r="B136" s="17" t="s">
        <v>19</v>
      </c>
      <c r="C136" s="7" t="s">
        <v>32</v>
      </c>
      <c r="D136" s="8" t="s">
        <v>21</v>
      </c>
      <c r="E136" s="66" t="s">
        <v>33</v>
      </c>
    </row>
    <row r="137" spans="1:8" x14ac:dyDescent="0.3">
      <c r="A137" s="10" t="s">
        <v>34</v>
      </c>
      <c r="B137" s="16">
        <f>SUM(C137:E137)</f>
        <v>681</v>
      </c>
      <c r="C137" s="5">
        <v>171</v>
      </c>
      <c r="D137" s="5">
        <v>77</v>
      </c>
      <c r="E137" s="67">
        <v>433</v>
      </c>
    </row>
    <row r="138" spans="1:8" x14ac:dyDescent="0.3">
      <c r="A138" s="10" t="s">
        <v>35</v>
      </c>
      <c r="B138" s="16">
        <f t="shared" ref="B138:B151" si="6">SUM(C138:E138)</f>
        <v>939</v>
      </c>
      <c r="C138" s="5">
        <v>236</v>
      </c>
      <c r="D138" s="5">
        <v>106</v>
      </c>
      <c r="E138" s="67">
        <v>597</v>
      </c>
    </row>
    <row r="139" spans="1:8" x14ac:dyDescent="0.3">
      <c r="A139" s="10" t="s">
        <v>36</v>
      </c>
      <c r="B139" s="16">
        <f t="shared" si="6"/>
        <v>1139</v>
      </c>
      <c r="C139" s="5">
        <v>286</v>
      </c>
      <c r="D139" s="5">
        <v>128</v>
      </c>
      <c r="E139" s="67">
        <v>725</v>
      </c>
    </row>
    <row r="140" spans="1:8" x14ac:dyDescent="0.3">
      <c r="A140" s="10" t="s">
        <v>37</v>
      </c>
      <c r="B140" s="16">
        <f t="shared" si="6"/>
        <v>1312</v>
      </c>
      <c r="C140" s="5">
        <v>330</v>
      </c>
      <c r="D140" s="5">
        <v>147</v>
      </c>
      <c r="E140" s="67">
        <v>835</v>
      </c>
    </row>
    <row r="141" spans="1:8" x14ac:dyDescent="0.3">
      <c r="A141" s="10" t="s">
        <v>38</v>
      </c>
      <c r="B141" s="16">
        <f t="shared" si="6"/>
        <v>1446</v>
      </c>
      <c r="C141" s="5">
        <v>363</v>
      </c>
      <c r="D141" s="5">
        <v>163</v>
      </c>
      <c r="E141" s="67">
        <v>920</v>
      </c>
    </row>
    <row r="142" spans="1:8" x14ac:dyDescent="0.3">
      <c r="A142" s="10" t="s">
        <v>39</v>
      </c>
      <c r="B142" s="16">
        <f t="shared" si="6"/>
        <v>1569</v>
      </c>
      <c r="C142" s="5">
        <v>394</v>
      </c>
      <c r="D142" s="5">
        <v>177</v>
      </c>
      <c r="E142" s="67">
        <v>998</v>
      </c>
    </row>
    <row r="143" spans="1:8" x14ac:dyDescent="0.3">
      <c r="A143" s="10" t="s">
        <v>40</v>
      </c>
      <c r="B143" s="16">
        <f t="shared" si="6"/>
        <v>1680</v>
      </c>
      <c r="C143" s="5">
        <v>422</v>
      </c>
      <c r="D143" s="5">
        <v>189</v>
      </c>
      <c r="E143" s="67">
        <v>1069</v>
      </c>
    </row>
    <row r="144" spans="1:8" x14ac:dyDescent="0.3">
      <c r="A144" s="10" t="s">
        <v>41</v>
      </c>
      <c r="B144" s="16">
        <f t="shared" si="6"/>
        <v>1771</v>
      </c>
      <c r="C144" s="5">
        <v>445</v>
      </c>
      <c r="D144" s="5">
        <v>199</v>
      </c>
      <c r="E144" s="67">
        <v>1127</v>
      </c>
    </row>
    <row r="145" spans="1:8" x14ac:dyDescent="0.3">
      <c r="A145" s="10" t="s">
        <v>42</v>
      </c>
      <c r="B145" s="16">
        <f t="shared" si="6"/>
        <v>1864</v>
      </c>
      <c r="C145" s="5">
        <v>468</v>
      </c>
      <c r="D145" s="5">
        <v>210</v>
      </c>
      <c r="E145" s="67">
        <v>1186</v>
      </c>
    </row>
    <row r="146" spans="1:8" x14ac:dyDescent="0.3">
      <c r="A146" s="10" t="s">
        <v>43</v>
      </c>
      <c r="B146" s="16">
        <f t="shared" si="6"/>
        <v>1937</v>
      </c>
      <c r="C146" s="5">
        <v>487</v>
      </c>
      <c r="D146" s="5">
        <v>218</v>
      </c>
      <c r="E146" s="67">
        <v>1232</v>
      </c>
    </row>
    <row r="147" spans="1:8" x14ac:dyDescent="0.3">
      <c r="A147" s="10" t="s">
        <v>44</v>
      </c>
      <c r="B147" s="16">
        <f t="shared" si="6"/>
        <v>2010</v>
      </c>
      <c r="C147" s="5">
        <v>505</v>
      </c>
      <c r="D147" s="5">
        <v>226</v>
      </c>
      <c r="E147" s="67">
        <v>1279</v>
      </c>
    </row>
    <row r="148" spans="1:8" x14ac:dyDescent="0.3">
      <c r="A148" s="10" t="s">
        <v>45</v>
      </c>
      <c r="B148" s="16">
        <f t="shared" si="6"/>
        <v>2078</v>
      </c>
      <c r="C148" s="5">
        <v>522</v>
      </c>
      <c r="D148" s="5">
        <v>234</v>
      </c>
      <c r="E148" s="67">
        <v>1322</v>
      </c>
    </row>
    <row r="149" spans="1:8" x14ac:dyDescent="0.3">
      <c r="A149" s="10" t="s">
        <v>46</v>
      </c>
      <c r="B149" s="16">
        <f t="shared" si="6"/>
        <v>2146</v>
      </c>
      <c r="C149" s="5">
        <v>539</v>
      </c>
      <c r="D149" s="5">
        <v>242</v>
      </c>
      <c r="E149" s="67">
        <v>1365</v>
      </c>
    </row>
    <row r="150" spans="1:8" x14ac:dyDescent="0.3">
      <c r="A150" s="10" t="s">
        <v>47</v>
      </c>
      <c r="B150" s="16">
        <f t="shared" si="6"/>
        <v>2201</v>
      </c>
      <c r="C150" s="5">
        <v>553</v>
      </c>
      <c r="D150" s="5">
        <v>248</v>
      </c>
      <c r="E150" s="67">
        <v>1400</v>
      </c>
    </row>
    <row r="151" spans="1:8" ht="15" thickBot="1" x14ac:dyDescent="0.35">
      <c r="A151" s="12" t="s">
        <v>48</v>
      </c>
      <c r="B151" s="18">
        <f t="shared" si="6"/>
        <v>2256</v>
      </c>
      <c r="C151" s="13">
        <v>567</v>
      </c>
      <c r="D151" s="13">
        <v>254</v>
      </c>
      <c r="E151" s="68">
        <v>1435</v>
      </c>
    </row>
    <row r="152" spans="1:8" ht="15" thickBot="1" x14ac:dyDescent="0.35"/>
    <row r="153" spans="1:8" ht="16.2" thickBot="1" x14ac:dyDescent="0.35">
      <c r="A153" s="184" t="s">
        <v>54</v>
      </c>
      <c r="B153" s="185"/>
      <c r="C153" s="185"/>
      <c r="D153" s="185"/>
      <c r="E153" s="186"/>
      <c r="F153" s="64"/>
      <c r="G153" s="64"/>
      <c r="H153" s="64"/>
    </row>
    <row r="154" spans="1:8" s="4" customFormat="1" ht="28.8" x14ac:dyDescent="0.3">
      <c r="A154" s="6" t="s">
        <v>31</v>
      </c>
      <c r="B154" s="17" t="s">
        <v>19</v>
      </c>
      <c r="C154" s="7" t="s">
        <v>32</v>
      </c>
      <c r="D154" s="8" t="s">
        <v>21</v>
      </c>
      <c r="E154" s="66" t="s">
        <v>33</v>
      </c>
    </row>
    <row r="155" spans="1:8" x14ac:dyDescent="0.3">
      <c r="A155" s="10" t="s">
        <v>34</v>
      </c>
      <c r="B155" s="16">
        <f>SUM(C155:E155)</f>
        <v>528</v>
      </c>
      <c r="C155" s="5">
        <v>171</v>
      </c>
      <c r="D155" s="5">
        <v>77</v>
      </c>
      <c r="E155" s="67">
        <v>280</v>
      </c>
    </row>
    <row r="156" spans="1:8" x14ac:dyDescent="0.3">
      <c r="A156" s="10" t="s">
        <v>35</v>
      </c>
      <c r="B156" s="16">
        <f t="shared" ref="B156:B169" si="7">SUM(C156:E156)</f>
        <v>728</v>
      </c>
      <c r="C156" s="5">
        <v>236</v>
      </c>
      <c r="D156" s="5">
        <v>106</v>
      </c>
      <c r="E156" s="67">
        <v>386</v>
      </c>
    </row>
    <row r="157" spans="1:8" x14ac:dyDescent="0.3">
      <c r="A157" s="10" t="s">
        <v>36</v>
      </c>
      <c r="B157" s="16">
        <f t="shared" si="7"/>
        <v>883</v>
      </c>
      <c r="C157" s="5">
        <v>286</v>
      </c>
      <c r="D157" s="5">
        <v>128</v>
      </c>
      <c r="E157" s="67">
        <v>469</v>
      </c>
    </row>
    <row r="158" spans="1:8" x14ac:dyDescent="0.3">
      <c r="A158" s="10" t="s">
        <v>37</v>
      </c>
      <c r="B158" s="16">
        <f t="shared" si="7"/>
        <v>1016</v>
      </c>
      <c r="C158" s="5">
        <v>330</v>
      </c>
      <c r="D158" s="5">
        <v>147</v>
      </c>
      <c r="E158" s="67">
        <v>539</v>
      </c>
    </row>
    <row r="159" spans="1:8" x14ac:dyDescent="0.3">
      <c r="A159" s="10" t="s">
        <v>38</v>
      </c>
      <c r="B159" s="16">
        <f t="shared" si="7"/>
        <v>1121</v>
      </c>
      <c r="C159" s="5">
        <v>363</v>
      </c>
      <c r="D159" s="5">
        <v>163</v>
      </c>
      <c r="E159" s="67">
        <v>595</v>
      </c>
    </row>
    <row r="160" spans="1:8" x14ac:dyDescent="0.3">
      <c r="A160" s="10" t="s">
        <v>39</v>
      </c>
      <c r="B160" s="16">
        <f t="shared" si="7"/>
        <v>1216</v>
      </c>
      <c r="C160" s="5">
        <v>394</v>
      </c>
      <c r="D160" s="5">
        <v>177</v>
      </c>
      <c r="E160" s="67">
        <v>645</v>
      </c>
    </row>
    <row r="161" spans="1:5" x14ac:dyDescent="0.3">
      <c r="A161" s="10" t="s">
        <v>40</v>
      </c>
      <c r="B161" s="16">
        <f t="shared" si="7"/>
        <v>1301</v>
      </c>
      <c r="C161" s="5">
        <v>422</v>
      </c>
      <c r="D161" s="5">
        <v>189</v>
      </c>
      <c r="E161" s="67">
        <v>690</v>
      </c>
    </row>
    <row r="162" spans="1:5" x14ac:dyDescent="0.3">
      <c r="A162" s="10" t="s">
        <v>41</v>
      </c>
      <c r="B162" s="16">
        <f t="shared" si="7"/>
        <v>1372</v>
      </c>
      <c r="C162" s="5">
        <v>445</v>
      </c>
      <c r="D162" s="5">
        <v>199</v>
      </c>
      <c r="E162" s="67">
        <v>728</v>
      </c>
    </row>
    <row r="163" spans="1:5" x14ac:dyDescent="0.3">
      <c r="A163" s="10" t="s">
        <v>42</v>
      </c>
      <c r="B163" s="16">
        <f t="shared" si="7"/>
        <v>1444</v>
      </c>
      <c r="C163" s="5">
        <v>468</v>
      </c>
      <c r="D163" s="5">
        <v>210</v>
      </c>
      <c r="E163" s="67">
        <v>766</v>
      </c>
    </row>
    <row r="164" spans="1:5" x14ac:dyDescent="0.3">
      <c r="A164" s="10" t="s">
        <v>43</v>
      </c>
      <c r="B164" s="16">
        <f t="shared" si="7"/>
        <v>1501</v>
      </c>
      <c r="C164" s="5">
        <v>487</v>
      </c>
      <c r="D164" s="5">
        <v>218</v>
      </c>
      <c r="E164" s="67">
        <v>796</v>
      </c>
    </row>
    <row r="165" spans="1:5" x14ac:dyDescent="0.3">
      <c r="A165" s="10" t="s">
        <v>44</v>
      </c>
      <c r="B165" s="16">
        <f t="shared" si="7"/>
        <v>1558</v>
      </c>
      <c r="C165" s="5">
        <v>505</v>
      </c>
      <c r="D165" s="5">
        <v>226</v>
      </c>
      <c r="E165" s="67">
        <v>827</v>
      </c>
    </row>
    <row r="166" spans="1:5" x14ac:dyDescent="0.3">
      <c r="A166" s="10" t="s">
        <v>45</v>
      </c>
      <c r="B166" s="16">
        <f t="shared" si="7"/>
        <v>1610</v>
      </c>
      <c r="C166" s="5">
        <v>522</v>
      </c>
      <c r="D166" s="5">
        <v>234</v>
      </c>
      <c r="E166" s="67">
        <v>854</v>
      </c>
    </row>
    <row r="167" spans="1:5" x14ac:dyDescent="0.3">
      <c r="A167" s="10" t="s">
        <v>46</v>
      </c>
      <c r="B167" s="16">
        <f t="shared" si="7"/>
        <v>1663</v>
      </c>
      <c r="C167" s="5">
        <v>539</v>
      </c>
      <c r="D167" s="5">
        <v>242</v>
      </c>
      <c r="E167" s="67">
        <v>882</v>
      </c>
    </row>
    <row r="168" spans="1:5" x14ac:dyDescent="0.3">
      <c r="A168" s="10" t="s">
        <v>47</v>
      </c>
      <c r="B168" s="16">
        <f t="shared" si="7"/>
        <v>1706</v>
      </c>
      <c r="C168" s="5">
        <v>553</v>
      </c>
      <c r="D168" s="5">
        <v>248</v>
      </c>
      <c r="E168" s="67">
        <v>905</v>
      </c>
    </row>
    <row r="169" spans="1:5" ht="15" thickBot="1" x14ac:dyDescent="0.35">
      <c r="A169" s="12" t="s">
        <v>48</v>
      </c>
      <c r="B169" s="18">
        <f t="shared" si="7"/>
        <v>1748</v>
      </c>
      <c r="C169" s="13">
        <v>567</v>
      </c>
      <c r="D169" s="13">
        <v>254</v>
      </c>
      <c r="E169" s="68">
        <v>927</v>
      </c>
    </row>
    <row r="182" spans="1:5" ht="18" x14ac:dyDescent="0.35">
      <c r="A182" s="3" t="s">
        <v>55</v>
      </c>
    </row>
    <row r="183" spans="1:5" ht="15" thickBot="1" x14ac:dyDescent="0.35"/>
    <row r="184" spans="1:5" ht="15" thickBot="1" x14ac:dyDescent="0.35">
      <c r="A184" s="177" t="s">
        <v>56</v>
      </c>
      <c r="B184" s="178"/>
      <c r="C184" s="179"/>
      <c r="D184" s="26"/>
      <c r="E184" s="26"/>
    </row>
    <row r="185" spans="1:5" s="20" customFormat="1" ht="28.8" x14ac:dyDescent="0.3">
      <c r="A185" s="161" t="s">
        <v>57</v>
      </c>
      <c r="B185" s="15" t="s">
        <v>58</v>
      </c>
      <c r="C185" s="168" t="s">
        <v>59</v>
      </c>
      <c r="D185" s="166"/>
      <c r="E185" s="166"/>
    </row>
    <row r="186" spans="1:5" x14ac:dyDescent="0.3">
      <c r="A186" s="10" t="s">
        <v>60</v>
      </c>
      <c r="B186" s="162" t="s">
        <v>61</v>
      </c>
      <c r="C186" s="11">
        <v>7888</v>
      </c>
      <c r="D186" s="165"/>
      <c r="E186" s="165"/>
    </row>
    <row r="187" spans="1:5" x14ac:dyDescent="0.3">
      <c r="A187" s="10" t="s">
        <v>62</v>
      </c>
      <c r="B187" s="163">
        <v>1</v>
      </c>
      <c r="C187" s="11">
        <v>7888</v>
      </c>
      <c r="D187" s="165"/>
      <c r="E187" s="165"/>
    </row>
    <row r="188" spans="1:5" x14ac:dyDescent="0.3">
      <c r="A188" s="10" t="s">
        <v>63</v>
      </c>
      <c r="B188" s="163">
        <v>1</v>
      </c>
      <c r="C188" s="11">
        <v>7888</v>
      </c>
      <c r="D188" s="165"/>
      <c r="E188" s="165"/>
    </row>
    <row r="189" spans="1:5" x14ac:dyDescent="0.3">
      <c r="A189" s="10" t="s">
        <v>64</v>
      </c>
      <c r="B189" s="163">
        <v>1.8</v>
      </c>
      <c r="C189" s="11">
        <v>14185</v>
      </c>
      <c r="D189" s="165"/>
      <c r="E189" s="165"/>
    </row>
    <row r="190" spans="1:5" x14ac:dyDescent="0.3">
      <c r="A190" s="10" t="s">
        <v>65</v>
      </c>
      <c r="B190" s="163">
        <v>2.9</v>
      </c>
      <c r="C190" s="11">
        <v>22913</v>
      </c>
      <c r="D190" s="165"/>
      <c r="E190" s="165"/>
    </row>
    <row r="191" spans="1:5" ht="15" thickBot="1" x14ac:dyDescent="0.35">
      <c r="A191" s="12" t="s">
        <v>66</v>
      </c>
      <c r="B191" s="158">
        <v>6.19</v>
      </c>
      <c r="C191" s="14">
        <v>48829</v>
      </c>
      <c r="D191" s="165"/>
      <c r="E191" s="165"/>
    </row>
    <row r="192" spans="1:5" ht="15" thickBot="1" x14ac:dyDescent="0.35">
      <c r="A192" s="145"/>
      <c r="C192" s="88"/>
    </row>
    <row r="193" spans="1:5" ht="15" thickBot="1" x14ac:dyDescent="0.35">
      <c r="A193" s="177" t="s">
        <v>67</v>
      </c>
      <c r="B193" s="178"/>
      <c r="C193" s="179"/>
      <c r="D193" s="26"/>
      <c r="E193" s="26"/>
    </row>
    <row r="194" spans="1:5" ht="28.8" x14ac:dyDescent="0.3">
      <c r="A194" s="159" t="s">
        <v>57</v>
      </c>
      <c r="B194" s="157" t="s">
        <v>58</v>
      </c>
      <c r="C194" s="169" t="s">
        <v>59</v>
      </c>
      <c r="D194" s="167"/>
      <c r="E194" s="167"/>
    </row>
    <row r="195" spans="1:5" x14ac:dyDescent="0.3">
      <c r="A195" s="10" t="s">
        <v>60</v>
      </c>
      <c r="B195" s="162" t="s">
        <v>61</v>
      </c>
      <c r="C195" s="11">
        <v>9629</v>
      </c>
      <c r="D195" s="165"/>
      <c r="E195" s="165"/>
    </row>
    <row r="196" spans="1:5" x14ac:dyDescent="0.3">
      <c r="A196" s="10" t="s">
        <v>62</v>
      </c>
      <c r="B196" s="163">
        <v>1</v>
      </c>
      <c r="C196" s="11">
        <v>9629</v>
      </c>
      <c r="D196" s="165"/>
      <c r="E196" s="165"/>
    </row>
    <row r="197" spans="1:5" x14ac:dyDescent="0.3">
      <c r="A197" s="10" t="s">
        <v>63</v>
      </c>
      <c r="B197" s="163">
        <v>1</v>
      </c>
      <c r="C197" s="11">
        <v>9629</v>
      </c>
      <c r="D197" s="165"/>
      <c r="E197" s="165"/>
    </row>
    <row r="198" spans="1:5" x14ac:dyDescent="0.3">
      <c r="A198" s="10" t="s">
        <v>64</v>
      </c>
      <c r="B198" s="163">
        <v>1.8</v>
      </c>
      <c r="C198" s="11">
        <v>17316</v>
      </c>
      <c r="D198" s="165"/>
      <c r="E198" s="165"/>
    </row>
    <row r="199" spans="1:5" x14ac:dyDescent="0.3">
      <c r="A199" s="10" t="s">
        <v>65</v>
      </c>
      <c r="B199" s="163">
        <v>2.9</v>
      </c>
      <c r="C199" s="11">
        <v>27970</v>
      </c>
      <c r="D199" s="165"/>
      <c r="E199" s="165"/>
    </row>
    <row r="200" spans="1:5" ht="15" thickBot="1" x14ac:dyDescent="0.35">
      <c r="A200" s="12" t="s">
        <v>66</v>
      </c>
      <c r="B200" s="160">
        <v>6.19</v>
      </c>
      <c r="C200" s="14">
        <v>59605</v>
      </c>
      <c r="D200" s="165"/>
      <c r="E200" s="165"/>
    </row>
  </sheetData>
  <sheetProtection algorithmName="SHA-512" hashValue="KeC3eKTwX5U3HB+7EZH6FoIqIvZ9GVuVj2kvJN5M2M2RykAEdc9WROj/3e1hFqrBHUO/2LDhSLJe7xaoAc+Nkw==" saltValue="kygStlIjfz+mYazeOEvAbg==" spinCount="100000" sheet="1" objects="1" scenarios="1"/>
  <mergeCells count="22">
    <mergeCell ref="F1:H5"/>
    <mergeCell ref="A36:D36"/>
    <mergeCell ref="A43:E43"/>
    <mergeCell ref="A62:E62"/>
    <mergeCell ref="A80:E80"/>
    <mergeCell ref="B23:H24"/>
    <mergeCell ref="B25:H26"/>
    <mergeCell ref="B27:H28"/>
    <mergeCell ref="A16:A17"/>
    <mergeCell ref="A15:H15"/>
    <mergeCell ref="A7:H9"/>
    <mergeCell ref="A11:H12"/>
    <mergeCell ref="A13:H14"/>
    <mergeCell ref="B16:H19"/>
    <mergeCell ref="A193:C193"/>
    <mergeCell ref="B20:H22"/>
    <mergeCell ref="A117:F117"/>
    <mergeCell ref="A135:E135"/>
    <mergeCell ref="A153:E153"/>
    <mergeCell ref="A184:C184"/>
    <mergeCell ref="A29:H30"/>
    <mergeCell ref="A98:E98"/>
  </mergeCells>
  <pageMargins left="0.7" right="0.7" top="0.75" bottom="0.75" header="0.3" footer="0.3"/>
  <pageSetup scale="99" orientation="landscape" r:id="rId1"/>
  <headerFooter>
    <oddFooter>&amp;L&amp;"Avenir Next LT Pro,Regular"&amp;10Planning, Development and Sustainability
406.258.4642 | pds@missoulacounty.us&amp;R&amp;"Avenir Next LT Pro,Regular"&amp;10IMPACT FEE SCHEDULE
&amp;P OF &amp;N</oddFooter>
  </headerFooter>
  <rowBreaks count="3" manualBreakCount="3">
    <brk id="59" max="16383" man="1"/>
    <brk id="88" max="16383" man="1"/>
    <brk id="1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4A1C-E39E-452F-8986-EE50F1C7826D}">
  <sheetPr>
    <pageSetUpPr autoPageBreaks="0" fitToPage="1"/>
  </sheetPr>
  <dimension ref="A1:I41"/>
  <sheetViews>
    <sheetView showGridLines="0" tabSelected="1" topLeftCell="A31" zoomScale="80" zoomScaleNormal="80" workbookViewId="0">
      <selection activeCell="C36" sqref="C36:C38"/>
    </sheetView>
  </sheetViews>
  <sheetFormatPr defaultRowHeight="14.4" x14ac:dyDescent="0.3"/>
  <cols>
    <col min="1" max="1" width="20.5546875" customWidth="1"/>
    <col min="2" max="2" width="24.33203125" customWidth="1"/>
    <col min="3" max="3" width="30.6640625" customWidth="1"/>
    <col min="4" max="4" width="15.33203125" customWidth="1"/>
    <col min="5" max="5" width="34.44140625" style="1" customWidth="1"/>
    <col min="6" max="6" width="30.6640625" customWidth="1"/>
  </cols>
  <sheetData>
    <row r="1" spans="1:9" ht="15" customHeight="1" x14ac:dyDescent="0.3">
      <c r="A1" s="32"/>
      <c r="B1" s="33"/>
      <c r="C1" s="33"/>
      <c r="D1" s="33"/>
      <c r="E1" s="215" t="s">
        <v>68</v>
      </c>
      <c r="F1" s="216"/>
      <c r="G1" s="47"/>
      <c r="H1" s="47"/>
      <c r="I1" s="47"/>
    </row>
    <row r="2" spans="1:9" ht="15" customHeight="1" x14ac:dyDescent="0.3">
      <c r="A2" s="38"/>
      <c r="B2" s="28"/>
      <c r="C2" s="28"/>
      <c r="D2" s="45"/>
      <c r="E2" s="217"/>
      <c r="F2" s="218"/>
      <c r="G2" s="47"/>
      <c r="H2" s="47"/>
      <c r="I2" s="47"/>
    </row>
    <row r="3" spans="1:9" ht="15" customHeight="1" x14ac:dyDescent="0.3">
      <c r="A3" s="34"/>
      <c r="B3" s="28"/>
      <c r="C3" s="28"/>
      <c r="D3" s="45"/>
      <c r="E3" s="217"/>
      <c r="F3" s="218"/>
      <c r="G3" s="47"/>
      <c r="H3" s="47"/>
      <c r="I3" s="47"/>
    </row>
    <row r="4" spans="1:9" ht="15" customHeight="1" x14ac:dyDescent="0.3">
      <c r="A4" s="35"/>
      <c r="B4" s="28"/>
      <c r="C4" s="28"/>
      <c r="D4" s="45"/>
      <c r="E4" s="219" t="s">
        <v>69</v>
      </c>
      <c r="F4" s="220"/>
      <c r="G4" s="48"/>
      <c r="H4" s="48"/>
      <c r="I4" s="48"/>
    </row>
    <row r="5" spans="1:9" x14ac:dyDescent="0.3">
      <c r="A5" s="38"/>
      <c r="B5" s="28"/>
      <c r="C5" s="28"/>
      <c r="D5" s="45"/>
      <c r="E5" s="219"/>
      <c r="F5" s="220"/>
      <c r="G5" s="48"/>
      <c r="H5" s="48"/>
      <c r="I5" s="48"/>
    </row>
    <row r="6" spans="1:9" ht="15.75" customHeight="1" x14ac:dyDescent="0.3">
      <c r="A6" s="34"/>
      <c r="B6" s="28"/>
      <c r="C6" s="28"/>
      <c r="D6" s="46"/>
      <c r="E6" s="219"/>
      <c r="F6" s="220"/>
      <c r="G6" s="48"/>
      <c r="H6" s="48"/>
      <c r="I6" s="48"/>
    </row>
    <row r="7" spans="1:9" ht="15" thickBot="1" x14ac:dyDescent="0.35">
      <c r="A7" s="41"/>
      <c r="B7" s="42"/>
      <c r="C7" s="43"/>
      <c r="D7" s="36"/>
      <c r="E7" s="221"/>
      <c r="F7" s="222"/>
      <c r="G7" s="48"/>
      <c r="H7" s="48"/>
      <c r="I7" s="48"/>
    </row>
    <row r="8" spans="1:9" ht="15" thickBot="1" x14ac:dyDescent="0.35">
      <c r="A8" s="28"/>
      <c r="B8" s="31"/>
      <c r="C8" s="39"/>
      <c r="D8" s="28"/>
      <c r="E8" s="40"/>
      <c r="F8" s="40"/>
      <c r="G8" s="40"/>
      <c r="H8" s="40"/>
      <c r="I8" s="40"/>
    </row>
    <row r="9" spans="1:9" ht="30.75" customHeight="1" x14ac:dyDescent="0.45">
      <c r="A9" s="233" t="s">
        <v>70</v>
      </c>
      <c r="B9" s="234"/>
      <c r="C9" s="234"/>
      <c r="D9" s="234"/>
      <c r="E9" s="234"/>
      <c r="F9" s="235"/>
      <c r="G9" s="44"/>
      <c r="H9" s="44"/>
      <c r="I9" s="44"/>
    </row>
    <row r="10" spans="1:9" ht="30.75" customHeight="1" thickBot="1" x14ac:dyDescent="0.5">
      <c r="A10" s="236" t="s">
        <v>71</v>
      </c>
      <c r="B10" s="237"/>
      <c r="C10" s="237"/>
      <c r="D10" s="237"/>
      <c r="E10" s="237"/>
      <c r="F10" s="238"/>
      <c r="G10" s="44"/>
      <c r="H10" s="44"/>
      <c r="I10" s="44"/>
    </row>
    <row r="11" spans="1:9" ht="22.5" customHeight="1" thickBot="1" x14ac:dyDescent="0.35">
      <c r="A11" s="28"/>
      <c r="B11" s="28"/>
      <c r="C11" s="28"/>
      <c r="D11" s="28"/>
      <c r="E11" s="29"/>
      <c r="F11" s="30"/>
    </row>
    <row r="12" spans="1:9" ht="39.9" customHeight="1" thickBot="1" x14ac:dyDescent="0.35">
      <c r="A12" s="228" t="s">
        <v>72</v>
      </c>
      <c r="B12" s="229"/>
      <c r="C12" s="230"/>
      <c r="D12" s="100"/>
      <c r="E12" s="231" t="s">
        <v>73</v>
      </c>
      <c r="F12" s="232"/>
    </row>
    <row r="13" spans="1:9" ht="39.9" customHeight="1" thickBot="1" x14ac:dyDescent="0.35">
      <c r="A13" s="225" t="s">
        <v>74</v>
      </c>
      <c r="B13" s="226"/>
      <c r="C13" s="227"/>
      <c r="D13" s="100"/>
      <c r="E13" s="223" t="s">
        <v>75</v>
      </c>
      <c r="F13" s="224"/>
    </row>
    <row r="14" spans="1:9" ht="39.9" customHeight="1" thickBot="1" x14ac:dyDescent="0.35">
      <c r="A14" s="239" t="s">
        <v>76</v>
      </c>
      <c r="B14" s="240"/>
      <c r="C14" s="102"/>
      <c r="D14" s="101"/>
      <c r="E14" s="103" t="s">
        <v>77</v>
      </c>
      <c r="F14" s="104">
        <f>Math!E31</f>
        <v>0</v>
      </c>
      <c r="G14" s="37"/>
    </row>
    <row r="15" spans="1:9" ht="39.9" customHeight="1" thickBot="1" x14ac:dyDescent="0.35">
      <c r="A15" s="239" t="s">
        <v>78</v>
      </c>
      <c r="B15" s="240"/>
      <c r="C15" s="105"/>
      <c r="D15" s="101"/>
      <c r="E15" s="106"/>
      <c r="F15" s="107"/>
    </row>
    <row r="16" spans="1:9" ht="39.9" customHeight="1" thickBot="1" x14ac:dyDescent="0.35">
      <c r="A16" s="241" t="s">
        <v>79</v>
      </c>
      <c r="B16" s="242"/>
      <c r="C16" s="243"/>
      <c r="D16" s="101"/>
      <c r="E16" s="103" t="s">
        <v>80</v>
      </c>
      <c r="F16" s="104">
        <f>Math!F31</f>
        <v>0</v>
      </c>
    </row>
    <row r="17" spans="1:6" ht="39.9" customHeight="1" thickBot="1" x14ac:dyDescent="0.35">
      <c r="A17" s="208" t="s">
        <v>81</v>
      </c>
      <c r="B17" s="209"/>
      <c r="C17" s="210"/>
      <c r="D17" s="101"/>
      <c r="E17" s="106"/>
      <c r="F17" s="107"/>
    </row>
    <row r="18" spans="1:6" ht="39.9" customHeight="1" thickBot="1" x14ac:dyDescent="0.35">
      <c r="A18" s="211" t="s">
        <v>82</v>
      </c>
      <c r="B18" s="212"/>
      <c r="C18" s="133" t="s">
        <v>83</v>
      </c>
      <c r="D18" s="101"/>
      <c r="E18" s="103" t="s">
        <v>84</v>
      </c>
      <c r="F18" s="104">
        <f>IF($C$19="yes", Math!G31, 0)</f>
        <v>0</v>
      </c>
    </row>
    <row r="19" spans="1:6" ht="39.9" customHeight="1" thickBot="1" x14ac:dyDescent="0.35">
      <c r="A19" s="211" t="s">
        <v>85</v>
      </c>
      <c r="B19" s="212"/>
      <c r="C19" s="108"/>
      <c r="D19" s="101"/>
      <c r="E19" s="106"/>
      <c r="F19" s="107"/>
    </row>
    <row r="20" spans="1:6" ht="39.9" customHeight="1" thickBot="1" x14ac:dyDescent="0.35">
      <c r="A20" s="201" t="s">
        <v>86</v>
      </c>
      <c r="B20" s="202"/>
      <c r="C20" s="203"/>
      <c r="D20" s="101"/>
      <c r="E20" s="103" t="s">
        <v>87</v>
      </c>
      <c r="F20" s="109">
        <f>Math!H31</f>
        <v>0</v>
      </c>
    </row>
    <row r="21" spans="1:6" ht="39.9" customHeight="1" thickBot="1" x14ac:dyDescent="0.35">
      <c r="A21" s="213" t="s">
        <v>88</v>
      </c>
      <c r="B21" s="214"/>
      <c r="C21" s="110"/>
      <c r="D21" s="101"/>
      <c r="E21" s="106"/>
      <c r="F21" s="111"/>
    </row>
    <row r="22" spans="1:6" ht="39.9" customHeight="1" thickBot="1" x14ac:dyDescent="0.35">
      <c r="A22" s="213" t="s">
        <v>89</v>
      </c>
      <c r="B22" s="214"/>
      <c r="C22" s="131" t="s">
        <v>83</v>
      </c>
      <c r="D22" s="101"/>
      <c r="E22" s="112" t="s">
        <v>90</v>
      </c>
      <c r="F22" s="109">
        <f>'Lolo W&amp;S'!$C$7</f>
        <v>0</v>
      </c>
    </row>
    <row r="23" spans="1:6" ht="39.9" customHeight="1" thickBot="1" x14ac:dyDescent="0.35">
      <c r="A23" s="199" t="s">
        <v>13</v>
      </c>
      <c r="B23" s="113" t="s">
        <v>91</v>
      </c>
      <c r="C23" s="114"/>
      <c r="D23" s="101"/>
      <c r="E23" s="112"/>
      <c r="F23" s="115"/>
    </row>
    <row r="24" spans="1:6" ht="39.9" customHeight="1" thickBot="1" x14ac:dyDescent="0.35">
      <c r="A24" s="200"/>
      <c r="B24" s="116" t="s">
        <v>92</v>
      </c>
      <c r="C24" s="117"/>
      <c r="D24" s="101"/>
      <c r="E24" s="112" t="s">
        <v>93</v>
      </c>
      <c r="F24" s="104">
        <f>'Lolo W&amp;S'!$F$7</f>
        <v>0</v>
      </c>
    </row>
    <row r="25" spans="1:6" ht="39.9" customHeight="1" thickBot="1" x14ac:dyDescent="0.35">
      <c r="A25" s="199" t="s">
        <v>7</v>
      </c>
      <c r="B25" s="197" t="s">
        <v>91</v>
      </c>
      <c r="C25" s="190"/>
      <c r="D25" s="101"/>
      <c r="E25" s="147"/>
      <c r="F25" s="118"/>
    </row>
    <row r="26" spans="1:6" ht="45" customHeight="1" thickBot="1" x14ac:dyDescent="0.35">
      <c r="A26" s="200"/>
      <c r="B26" s="198"/>
      <c r="C26" s="191"/>
      <c r="D26" s="101"/>
      <c r="E26" s="132" t="s">
        <v>94</v>
      </c>
      <c r="F26" s="104">
        <f>IF($C$15="YES", (SUM(F14,F16,F18,F20,F22,F24)*List!B65), 0)</f>
        <v>0</v>
      </c>
    </row>
    <row r="27" spans="1:6" ht="42.75" customHeight="1" thickBot="1" x14ac:dyDescent="0.35">
      <c r="A27" s="199" t="s">
        <v>9</v>
      </c>
      <c r="B27" s="197" t="s">
        <v>91</v>
      </c>
      <c r="C27" s="190"/>
      <c r="D27" s="119"/>
      <c r="E27" s="120"/>
      <c r="F27" s="121"/>
    </row>
    <row r="28" spans="1:6" ht="63" thickBot="1" x14ac:dyDescent="0.35">
      <c r="A28" s="200"/>
      <c r="B28" s="198"/>
      <c r="C28" s="191"/>
      <c r="D28" s="119"/>
      <c r="E28" s="103" t="s">
        <v>95</v>
      </c>
      <c r="F28" s="148">
        <f>SUM(F14,F16,F18,F20,F22,F24,F26)</f>
        <v>0</v>
      </c>
    </row>
    <row r="29" spans="1:6" ht="39.9" customHeight="1" thickBot="1" x14ac:dyDescent="0.35">
      <c r="A29" s="206" t="s">
        <v>96</v>
      </c>
      <c r="B29" s="197" t="s">
        <v>91</v>
      </c>
      <c r="C29" s="190"/>
      <c r="D29" s="119"/>
      <c r="E29" s="122"/>
      <c r="F29" s="123"/>
    </row>
    <row r="30" spans="1:6" ht="39.9" customHeight="1" thickBot="1" x14ac:dyDescent="0.35">
      <c r="A30" s="207"/>
      <c r="B30" s="198"/>
      <c r="C30" s="191"/>
      <c r="D30" s="119"/>
    </row>
    <row r="31" spans="1:6" ht="39.9" customHeight="1" x14ac:dyDescent="0.3">
      <c r="A31" s="199" t="s">
        <v>11</v>
      </c>
      <c r="B31" s="197" t="s">
        <v>91</v>
      </c>
      <c r="C31" s="190"/>
      <c r="D31" s="119"/>
    </row>
    <row r="32" spans="1:6" ht="39.9" customHeight="1" thickBot="1" x14ac:dyDescent="0.35">
      <c r="A32" s="200"/>
      <c r="B32" s="198"/>
      <c r="C32" s="191"/>
      <c r="D32" s="119"/>
      <c r="E32" s="124"/>
      <c r="F32" s="125"/>
    </row>
    <row r="33" spans="1:6" ht="39.9" customHeight="1" thickBot="1" x14ac:dyDescent="0.35">
      <c r="A33" s="201" t="s">
        <v>97</v>
      </c>
      <c r="B33" s="202"/>
      <c r="C33" s="203"/>
      <c r="D33" s="119"/>
      <c r="E33" s="126"/>
      <c r="F33" s="119"/>
    </row>
    <row r="34" spans="1:6" s="98" customFormat="1" ht="39.9" customHeight="1" thickBot="1" x14ac:dyDescent="0.35">
      <c r="A34" s="208" t="s">
        <v>98</v>
      </c>
      <c r="B34" s="209"/>
      <c r="C34" s="210"/>
      <c r="D34" s="127"/>
      <c r="E34" s="128"/>
      <c r="F34" s="127"/>
    </row>
    <row r="35" spans="1:6" s="98" customFormat="1" ht="88.5" customHeight="1" x14ac:dyDescent="0.3">
      <c r="A35" s="204" t="s">
        <v>99</v>
      </c>
      <c r="B35" s="205"/>
      <c r="C35" s="170" t="s">
        <v>100</v>
      </c>
      <c r="D35" s="127"/>
      <c r="E35" s="128"/>
      <c r="F35" s="127"/>
    </row>
    <row r="36" spans="1:6" ht="46.8" x14ac:dyDescent="0.3">
      <c r="A36" s="206" t="s">
        <v>101</v>
      </c>
      <c r="B36" s="113" t="s">
        <v>102</v>
      </c>
      <c r="C36" s="129"/>
      <c r="D36" s="125"/>
      <c r="E36" s="124"/>
      <c r="F36" s="125"/>
    </row>
    <row r="37" spans="1:6" ht="42" customHeight="1" x14ac:dyDescent="0.3">
      <c r="A37" s="207"/>
      <c r="B37" s="116" t="s">
        <v>103</v>
      </c>
      <c r="C37" s="130"/>
      <c r="D37" s="125"/>
      <c r="E37" s="124"/>
      <c r="F37" s="125"/>
    </row>
    <row r="38" spans="1:6" ht="46.8" x14ac:dyDescent="0.3">
      <c r="A38" s="206" t="s">
        <v>104</v>
      </c>
      <c r="B38" s="113" t="s">
        <v>102</v>
      </c>
      <c r="C38" s="130"/>
      <c r="D38" s="125"/>
      <c r="E38" s="124"/>
      <c r="F38" s="125"/>
    </row>
    <row r="39" spans="1:6" ht="42.75" customHeight="1" thickBot="1" x14ac:dyDescent="0.35">
      <c r="A39" s="207"/>
      <c r="B39" s="116" t="s">
        <v>103</v>
      </c>
      <c r="C39" s="130"/>
      <c r="D39" s="125"/>
      <c r="E39" s="124"/>
      <c r="F39" s="125"/>
    </row>
    <row r="40" spans="1:6" ht="65.25" customHeight="1" thickBot="1" x14ac:dyDescent="0.35">
      <c r="A40" s="192" t="s">
        <v>105</v>
      </c>
      <c r="B40" s="193"/>
      <c r="C40" s="171"/>
    </row>
    <row r="41" spans="1:6" ht="69" customHeight="1" thickBot="1" x14ac:dyDescent="0.35">
      <c r="A41" s="194" t="s">
        <v>106</v>
      </c>
      <c r="B41" s="195"/>
      <c r="C41" s="196"/>
    </row>
  </sheetData>
  <sheetProtection algorithmName="SHA-512" hashValue="upT+I+KVNmZIPmPlDZGNVZqd8DN7M0o2rzbImJ7iqPlYDOdms30twMxWpe4bom1WVJlpSyVmbVEzQRsvpCCZ5g==" saltValue="LBNyGtrqIZDceJzx/4YzVw==" spinCount="100000" sheet="1" selectLockedCells="1"/>
  <mergeCells count="37">
    <mergeCell ref="E1:F3"/>
    <mergeCell ref="E4:F7"/>
    <mergeCell ref="E13:F13"/>
    <mergeCell ref="A22:B22"/>
    <mergeCell ref="A13:C13"/>
    <mergeCell ref="A12:C12"/>
    <mergeCell ref="E12:F12"/>
    <mergeCell ref="A9:F9"/>
    <mergeCell ref="A10:F10"/>
    <mergeCell ref="A14:B14"/>
    <mergeCell ref="A15:B15"/>
    <mergeCell ref="A16:C16"/>
    <mergeCell ref="A20:C20"/>
    <mergeCell ref="A17:C17"/>
    <mergeCell ref="A27:A28"/>
    <mergeCell ref="A23:A24"/>
    <mergeCell ref="A25:A26"/>
    <mergeCell ref="A18:B18"/>
    <mergeCell ref="A19:B19"/>
    <mergeCell ref="A21:B21"/>
    <mergeCell ref="B25:B26"/>
    <mergeCell ref="C27:C28"/>
    <mergeCell ref="C25:C26"/>
    <mergeCell ref="A40:B40"/>
    <mergeCell ref="A41:C41"/>
    <mergeCell ref="C29:C30"/>
    <mergeCell ref="C31:C32"/>
    <mergeCell ref="B27:B28"/>
    <mergeCell ref="B29:B30"/>
    <mergeCell ref="B31:B32"/>
    <mergeCell ref="A31:A32"/>
    <mergeCell ref="A33:C33"/>
    <mergeCell ref="A35:B35"/>
    <mergeCell ref="A36:A37"/>
    <mergeCell ref="A34:C34"/>
    <mergeCell ref="A38:A39"/>
    <mergeCell ref="A29:A30"/>
  </mergeCells>
  <conditionalFormatting sqref="C21 C23:C24">
    <cfRule type="expression" dxfId="5" priority="5">
      <formula>OR(Category="Residential", Category="Mixed")</formula>
    </cfRule>
  </conditionalFormatting>
  <conditionalFormatting sqref="C25">
    <cfRule type="expression" dxfId="4" priority="9">
      <formula>OR(Category="Industrial", Category="Mixed")</formula>
    </cfRule>
  </conditionalFormatting>
  <conditionalFormatting sqref="C27">
    <cfRule type="expression" dxfId="3" priority="8">
      <formula>OR(Category="INSTITUTIONAL", Category="MIXED")</formula>
    </cfRule>
  </conditionalFormatting>
  <conditionalFormatting sqref="C29">
    <cfRule type="expression" dxfId="2" priority="7">
      <formula>OR(Category="RETAIL/COMMERCIAL", Category="MIXED")</formula>
    </cfRule>
  </conditionalFormatting>
  <conditionalFormatting sqref="C31">
    <cfRule type="expression" dxfId="1" priority="6">
      <formula>OR(Category="OFFICE", Category="MIXED")</formula>
    </cfRule>
  </conditionalFormatting>
  <conditionalFormatting sqref="C36:C39">
    <cfRule type="expression" dxfId="0" priority="1">
      <formula>$C$35="Yes"</formula>
    </cfRule>
  </conditionalFormatting>
  <dataValidations xWindow="464" yWindow="835" count="3">
    <dataValidation type="whole" operator="greaterThan" showInputMessage="1" showErrorMessage="1" prompt="Enter proposed interior square footage per residential unit or net interior square footage of an addition. This is the proposed living space area that is measured from the inside of the exterior walls and does not include garages or decks." sqref="C23" xr:uid="{39F3F8D3-8780-4CB9-9437-D441B241392E}">
      <formula1>C24</formula1>
    </dataValidation>
    <dataValidation type="whole" operator="greaterThanOrEqual" allowBlank="1" showInputMessage="1" showErrorMessage="1" prompt="Enter existing interior square footage if the project is a residential addition. Otherwise, enter zero (0). This is the living space area that is measured from the inside of the exterior walls  and does not include garages or decks." sqref="C24" xr:uid="{07CD5A72-B190-4580-9E1C-82D1497AC32F}">
      <formula1>0</formula1>
    </dataValidation>
    <dataValidation type="whole" operator="greaterThan" allowBlank="1" showInputMessage="1" showErrorMessage="1" prompt="Enter the proposed interior square footage." sqref="C31 C29 C27 C25" xr:uid="{D9E590DE-1C46-4F5B-8ACF-154C211887E4}">
      <formula1>C26</formula1>
    </dataValidation>
  </dataValidations>
  <hyperlinks>
    <hyperlink ref="C18" r:id="rId1" xr:uid="{3E7C4334-5E18-4C84-9468-781586C74CED}"/>
    <hyperlink ref="C22" r:id="rId2" xr:uid="{30453869-76EF-493B-B457-3128CF990DBA}"/>
  </hyperlinks>
  <printOptions horizontalCentered="1" verticalCentered="1"/>
  <pageMargins left="0.7" right="0.7" top="0.75" bottom="0.75" header="0.3" footer="0.3"/>
  <pageSetup scale="51" orientation="portrait" r:id="rId3"/>
  <headerFooter>
    <oddFooter>&amp;C&amp;8For multifamily residential and residential/non-residential mixed use estimates, 
please contact Planning, Development and Sustainability at 406-258-4657 or pds@missoulacounty.us</oddFooter>
  </headerFooter>
  <drawing r:id="rId4"/>
  <extLst>
    <ext xmlns:x14="http://schemas.microsoft.com/office/spreadsheetml/2009/9/main" uri="{CCE6A557-97BC-4b89-ADB6-D9C93CAAB3DF}">
      <x14:dataValidations xmlns:xm="http://schemas.microsoft.com/office/excel/2006/main" xWindow="464" yWindow="835" count="10">
        <x14:dataValidation type="list" allowBlank="1" showInputMessage="1" showErrorMessage="1" promptTitle="Select One" prompt="Must select one from the drop down list" xr:uid="{A5148E90-ECE3-4836-AFB2-7F5AEB0CA247}">
          <x14:formula1>
            <xm:f>List!$A$65:$A$66</xm:f>
          </x14:formula1>
          <xm:sqref>C15:C16</xm:sqref>
        </x14:dataValidation>
        <x14:dataValidation type="list" allowBlank="1" showInputMessage="1" showErrorMessage="1" promptTitle="Select One" prompt="Must select one from the drop down list" xr:uid="{0B2AC8BE-9AE1-46E1-B5FB-01E5D09E8BFB}">
          <x14:formula1>
            <xm:f>List!$A$69:$A$70</xm:f>
          </x14:formula1>
          <xm:sqref>C19:C20 C33</xm:sqref>
        </x14:dataValidation>
        <x14:dataValidation type="list" allowBlank="1" showInputMessage="1" showErrorMessage="1" promptTitle="Select One - Residential Only" prompt="Must select one from drop down list - for Residential Only" xr:uid="{75A078C7-376F-4A47-928C-01793C21B977}">
          <x14:formula1>
            <xm:f>List!$A$73:$A$77</xm:f>
          </x14:formula1>
          <xm:sqref>C21</xm:sqref>
        </x14:dataValidation>
        <x14:dataValidation type="list" allowBlank="1" showInputMessage="1" showErrorMessage="1" prompt="Must select one from the drop down list.  &quot;Mixed&quot; is any combination of categories." xr:uid="{F2F9171E-36E6-45F8-976F-4271E893B11B}">
          <x14:formula1>
            <xm:f>List!$A$57:$A$62</xm:f>
          </x14:formula1>
          <xm:sqref>C14</xm:sqref>
        </x14:dataValidation>
        <x14:dataValidation type="list" allowBlank="1" showInputMessage="1" showErrorMessage="1" promptTitle="Connection to Lolo RSID 901" prompt="Please select yes or no.  If you have questions related to the Lolo RSID 901 and connections to the sewer and water system or please reach out to Missoula County Public Works Engineering Department at (406) 258-4832." xr:uid="{15BFBA23-E1EE-480B-A206-95D066D8C095}">
          <x14:formula1>
            <xm:f>'Lolo W&amp;S'!$A$12:$A$13</xm:f>
          </x14:formula1>
          <xm:sqref>C35</xm:sqref>
        </x14:dataValidation>
        <x14:dataValidation type="list" allowBlank="1" showInputMessage="1" showErrorMessage="1" promptTitle="Existing Conditions" prompt="The Chief Public Works Officer shall provide an appropriate discount for new service lines to properties within Rural Special Improvement District 901that have not been receiving sewer and/or water services but which were previously eligible." xr:uid="{F898A183-0C9F-4255-9330-42E5EC90434F}">
          <x14:formula1>
            <xm:f>'Lolo W&amp;S'!$A$12:$A$13</xm:f>
          </x14:formula1>
          <xm:sqref>C40</xm:sqref>
        </x14:dataValidation>
        <x14:dataValidation type="list" allowBlank="1" showInputMessage="1" showErrorMessage="1" promptTitle="Sewer - New Connections" prompt="Select the diameter of the proposed sewer connection service line. If the diameter is not listed, contact Public Works at (406) 258-4832." xr:uid="{CFCF08C3-56AB-4D4F-8425-24652EE962FA}">
          <x14:formula1>
            <xm:f>'Lolo W&amp;S'!$A$17:$A$22</xm:f>
          </x14:formula1>
          <xm:sqref>C36</xm:sqref>
        </x14:dataValidation>
        <x14:dataValidation type="list" allowBlank="1" showInputMessage="1" showErrorMessage="1" promptTitle="Sewer Line - Existing Diameter" prompt="If there is an existing sewer connection and the service line is being upgraded, please select the existing diameter.  If this is a completely new connection, leave this space blank.  If the diameter is not listed, contact Public Works at (406) 258-4832." xr:uid="{167E00B2-C1DB-40BE-9A91-A5BC0C0DD539}">
          <x14:formula1>
            <xm:f>'Lolo W&amp;S'!$A$17:$A$22</xm:f>
          </x14:formula1>
          <xm:sqref>C37</xm:sqref>
        </x14:dataValidation>
        <x14:dataValidation type="list" allowBlank="1" showInputMessage="1" showErrorMessage="1" promptTitle="Water Line - Existing Diameter" prompt="If there is an existing water connection and the service line is being upgraded, please select the existing diameter.  If this is a completely new connection, leave this space blank.  It the diameter is not listed, contact Public Works at (406) 258-4832." xr:uid="{EFD2E212-8C0F-4445-9553-459A42922F03}">
          <x14:formula1>
            <xm:f>'Lolo W&amp;S'!$A$26:$A$31</xm:f>
          </x14:formula1>
          <xm:sqref>C39</xm:sqref>
        </x14:dataValidation>
        <x14:dataValidation type="list" allowBlank="1" showInputMessage="1" showErrorMessage="1" promptTitle="Water - New Connections" prompt="Select the diameter of the proposed water connection service line. If the diameter is not listed, contact Public Works at (406) 258-4832." xr:uid="{F1184CB9-0318-41DA-8F40-4E570C9A7119}">
          <x14:formula1>
            <xm:f>'Lolo W&amp;S'!$A$26:$A$31</xm:f>
          </x14:formula1>
          <xm:sqref>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7E82-43FF-4362-AA0E-A8EE6DF5114D}">
  <dimension ref="A1:J31"/>
  <sheetViews>
    <sheetView workbookViewId="0">
      <selection activeCell="A31" sqref="A31"/>
    </sheetView>
  </sheetViews>
  <sheetFormatPr defaultRowHeight="14.4" x14ac:dyDescent="0.3"/>
  <cols>
    <col min="1" max="1" width="30.5546875" customWidth="1"/>
    <col min="2" max="2" width="10.33203125" customWidth="1"/>
    <col min="3" max="3" width="13.5546875" style="27" customWidth="1"/>
    <col min="4" max="4" width="21.6640625" style="1" customWidth="1"/>
    <col min="5" max="5" width="10.44140625" style="1" customWidth="1"/>
    <col min="6" max="6" width="12.88671875" style="1" customWidth="1"/>
    <col min="7" max="7" width="16.6640625" style="1" customWidth="1"/>
    <col min="8" max="8" width="11.88671875" style="1" customWidth="1"/>
    <col min="9" max="9" width="10.6640625" style="1" customWidth="1"/>
    <col min="10" max="10" width="12.5546875" style="1" customWidth="1"/>
  </cols>
  <sheetData>
    <row r="1" spans="1:10" s="49" customFormat="1" ht="28.8" x14ac:dyDescent="0.3">
      <c r="A1" s="49" t="s">
        <v>13</v>
      </c>
      <c r="B1" s="50" t="s">
        <v>107</v>
      </c>
      <c r="C1" s="50" t="s">
        <v>108</v>
      </c>
      <c r="D1" s="50" t="s">
        <v>109</v>
      </c>
      <c r="E1" s="50" t="s">
        <v>20</v>
      </c>
      <c r="F1" s="50" t="s">
        <v>110</v>
      </c>
      <c r="G1" s="50" t="s">
        <v>111</v>
      </c>
      <c r="H1" s="50" t="s">
        <v>112</v>
      </c>
      <c r="I1" s="50" t="s">
        <v>113</v>
      </c>
      <c r="J1" s="50" t="s">
        <v>19</v>
      </c>
    </row>
    <row r="2" spans="1:10" x14ac:dyDescent="0.3">
      <c r="A2" s="51" t="s">
        <v>114</v>
      </c>
      <c r="B2" s="51">
        <f>SUM(Estimator!C23,Estimator!C24)</f>
        <v>0</v>
      </c>
      <c r="C2" s="52"/>
      <c r="D2" s="53"/>
      <c r="E2" s="53"/>
      <c r="F2" s="53"/>
      <c r="G2" s="53"/>
      <c r="H2" s="53"/>
      <c r="I2" s="53"/>
      <c r="J2" s="53"/>
    </row>
    <row r="3" spans="1:10" ht="28.8" x14ac:dyDescent="0.3">
      <c r="A3" s="20" t="s">
        <v>115</v>
      </c>
      <c r="B3">
        <f>IFERROR(IF(OR(Estimator!$C$14="Residential", Estimator!$C$14="Mixed"), VLOOKUP(B2, List!$A$80:$C$94, 3), 0), 0)</f>
        <v>0</v>
      </c>
      <c r="D3" s="1">
        <f>IFERROR(_xlfn.XLOOKUP($B3, List!$B$8:$B$22, List!C$8:C$22, 0), 0)</f>
        <v>0</v>
      </c>
      <c r="E3" s="1">
        <f>IFERROR(_xlfn.XLOOKUP($B3, List!$B$8:$B$22, List!D$8:D$22, 0), 0)</f>
        <v>0</v>
      </c>
      <c r="F3" s="1">
        <f>IFERROR(_xlfn.XLOOKUP($B3, List!$B$8:$B$22, List!E$8:E$22, 0), 0)</f>
        <v>0</v>
      </c>
      <c r="G3" s="1">
        <f>IFERROR(IF(Estimator!$C$19="Yes", _xlfn.XLOOKUP($B3, List!$B$8:$B$22, List!F$8:F$22, 0), 0), 0)</f>
        <v>0</v>
      </c>
      <c r="H3" s="1">
        <f>IFERROR(INDEX(List!$C$24:$G$38, MATCH(Math!$B3, List!$B$24:$B$38, 0), MATCH(Estimator!$C$21, List!$C$23:$G$23, 0)), 0)</f>
        <v>0</v>
      </c>
      <c r="I3" s="1">
        <f>IFERROR(INDEX(List!$C$40:$G$54, MATCH(Math!$B3, List!$B$40:$B$54, 0), MATCH(Estimator!$C$21, List!$C$39:$G$39, 0)), 0)</f>
        <v>0</v>
      </c>
      <c r="J3" s="1">
        <f>SUM(D3:I3)</f>
        <v>0</v>
      </c>
    </row>
    <row r="4" spans="1:10" ht="28.8" x14ac:dyDescent="0.3">
      <c r="A4" s="20" t="s">
        <v>116</v>
      </c>
      <c r="B4">
        <f>IFERROR(IF(OR(Estimator!$C$14="Residential", Estimator!$C$14="Mixed"), VLOOKUP(Estimator!C24, List!$A$80:$C$94, 3), 0), 0)</f>
        <v>0</v>
      </c>
      <c r="D4" s="1">
        <f>IFERROR(_xlfn.XLOOKUP($B4, List!$B$8:$B$22, List!C$8:C$22, 0), 0)</f>
        <v>0</v>
      </c>
      <c r="E4" s="1">
        <f>IFERROR(_xlfn.XLOOKUP($B4, List!$B$8:$B$22, List!D$8:D$22, 0), 0)</f>
        <v>0</v>
      </c>
      <c r="F4" s="1">
        <f>IFERROR(_xlfn.XLOOKUP($B4, List!$B$8:$B$22, List!E$8:E$22, 0), 0)</f>
        <v>0</v>
      </c>
      <c r="G4" s="1">
        <f>IFERROR(IF(Estimator!$C$19="Yes", _xlfn.XLOOKUP($B4, List!$B$8:$B$22, List!F$8:F$22, 0), 0), 0)</f>
        <v>0</v>
      </c>
      <c r="H4" s="1">
        <f>IFERROR(INDEX(List!$C$24:$G$38, MATCH(Math!$B4, List!$B$24:$B$38, 0), MATCH(Estimator!$C$21, List!$C$23:$G$23, 0)), 0)</f>
        <v>0</v>
      </c>
      <c r="I4" s="1">
        <f>IFERROR(INDEX(List!$C$40:$G$54, MATCH(Math!$B4, List!$B$40:$B$54, 0), MATCH(Estimator!$C$21, List!$C$39:$G$39, 0)), 0)</f>
        <v>0</v>
      </c>
      <c r="J4" s="1">
        <f t="shared" ref="J4:J26" si="0">SUM(D4:I4)</f>
        <v>0</v>
      </c>
    </row>
    <row r="5" spans="1:10" x14ac:dyDescent="0.3">
      <c r="A5" s="20" t="s">
        <v>117</v>
      </c>
      <c r="B5">
        <f>SUM(Estimator!C23, -Estimator!C24)</f>
        <v>0</v>
      </c>
      <c r="D5" s="1">
        <f>SUM(D3-D4)</f>
        <v>0</v>
      </c>
      <c r="E5" s="1">
        <f t="shared" ref="E5:I5" si="1">SUM(E3-E4)</f>
        <v>0</v>
      </c>
      <c r="F5" s="1">
        <f t="shared" si="1"/>
        <v>0</v>
      </c>
      <c r="G5" s="1">
        <f t="shared" si="1"/>
        <v>0</v>
      </c>
      <c r="H5" s="1">
        <f t="shared" si="1"/>
        <v>0</v>
      </c>
      <c r="I5" s="1">
        <f t="shared" si="1"/>
        <v>0</v>
      </c>
      <c r="J5" s="1">
        <f t="shared" si="0"/>
        <v>0</v>
      </c>
    </row>
    <row r="6" spans="1:10" x14ac:dyDescent="0.3">
      <c r="A6" s="26" t="s">
        <v>7</v>
      </c>
      <c r="J6" s="1">
        <f t="shared" si="0"/>
        <v>0</v>
      </c>
    </row>
    <row r="7" spans="1:10" x14ac:dyDescent="0.3">
      <c r="A7" s="51" t="s">
        <v>114</v>
      </c>
      <c r="B7" s="51">
        <f>SUM(B8,B9)</f>
        <v>0</v>
      </c>
      <c r="C7" s="52">
        <f>IFERROR(B8/$B$27, 0)</f>
        <v>0</v>
      </c>
      <c r="D7" s="53">
        <f>D8*$C$7</f>
        <v>0</v>
      </c>
      <c r="E7" s="53">
        <f>E8*$C$7</f>
        <v>0</v>
      </c>
      <c r="F7" s="53">
        <f t="shared" ref="F7:G7" si="2">F8*$C$7</f>
        <v>0</v>
      </c>
      <c r="G7" s="53">
        <f t="shared" si="2"/>
        <v>0</v>
      </c>
      <c r="H7" s="53"/>
      <c r="I7" s="53"/>
      <c r="J7" s="53">
        <f t="shared" si="0"/>
        <v>0</v>
      </c>
    </row>
    <row r="8" spans="1:10" x14ac:dyDescent="0.3">
      <c r="A8" t="s">
        <v>118</v>
      </c>
      <c r="B8">
        <f>IF(OR(Estimator!$C$14="Industrial", Estimator!$C$14="Mixed",), Estimator!C25, 0)</f>
        <v>0</v>
      </c>
      <c r="C8" s="27">
        <f>IFERROR(B8/B7, 0)</f>
        <v>0</v>
      </c>
      <c r="D8" s="1">
        <f>IFERROR(_xlfn.XLOOKUP(Math!$A$6, List!$A$3:$A$6, List!C$3:C$6, 0)*$C$8, 0)</f>
        <v>0</v>
      </c>
      <c r="E8" s="1">
        <f>IFERROR(_xlfn.XLOOKUP(Math!$A$6, List!$A$3:$A$6, List!D$3:D$6, 0)*$C$8, 0)</f>
        <v>0</v>
      </c>
      <c r="F8" s="1">
        <f>IFERROR(_xlfn.XLOOKUP(Math!$A$6, List!$A$3:$A$6, List!E$3:E$6, 0)*$C$8, 0)</f>
        <v>0</v>
      </c>
      <c r="G8" s="1">
        <f>IFERROR(IF(Estimator!$C$19="Yes", (_xlfn.XLOOKUP(Math!$A$6, List!$A$3:$A$6, List!F$3:F$6, 0)*$C$8), 0), 0)</f>
        <v>0</v>
      </c>
      <c r="J8" s="1">
        <f t="shared" si="0"/>
        <v>0</v>
      </c>
    </row>
    <row r="9" spans="1:10" x14ac:dyDescent="0.3">
      <c r="A9" s="96" t="s">
        <v>119</v>
      </c>
      <c r="B9" s="96">
        <f>IF(OR(Estimator!$C$14="Industrial", Estimator!$C$14="Mixed",), Estimator!C26, 0)</f>
        <v>0</v>
      </c>
      <c r="J9" s="1">
        <f t="shared" si="0"/>
        <v>0</v>
      </c>
    </row>
    <row r="10" spans="1:10" x14ac:dyDescent="0.3">
      <c r="A10" s="54" t="s">
        <v>117</v>
      </c>
      <c r="B10" s="54">
        <f>SUM(B8, -B9)</f>
        <v>0</v>
      </c>
      <c r="C10" s="55">
        <f>B10/1000</f>
        <v>0</v>
      </c>
      <c r="D10" s="56">
        <f>IFERROR(_xlfn.XLOOKUP(Math!$A$6, List!$A$3:$A$6, List!C$3:C$6, 0)*$C10, 0)</f>
        <v>0</v>
      </c>
      <c r="E10" s="56">
        <f>IFERROR(_xlfn.XLOOKUP(Math!$A$6, List!$A$3:$A$6, List!D$3:D$6, 0)*$C10, 0)</f>
        <v>0</v>
      </c>
      <c r="F10" s="56">
        <f>IFERROR(_xlfn.XLOOKUP(Math!$A$6, List!$A$3:$A$6, List!E$3:E$6, 0)*$C10, 0)</f>
        <v>0</v>
      </c>
      <c r="G10" s="56">
        <f>IFERROR(_xlfn.XLOOKUP(Math!$A$6, List!$A$3:$A$6, List!F$3:F$6, 0)*$C10, 0)</f>
        <v>0</v>
      </c>
      <c r="H10" s="56"/>
      <c r="I10" s="56"/>
      <c r="J10" s="56">
        <f t="shared" si="0"/>
        <v>0</v>
      </c>
    </row>
    <row r="11" spans="1:10" x14ac:dyDescent="0.3">
      <c r="A11" s="26" t="s">
        <v>9</v>
      </c>
      <c r="J11" s="1">
        <f t="shared" si="0"/>
        <v>0</v>
      </c>
    </row>
    <row r="12" spans="1:10" x14ac:dyDescent="0.3">
      <c r="A12" s="51" t="s">
        <v>114</v>
      </c>
      <c r="B12" s="51">
        <f>SUM(B13,B14)</f>
        <v>0</v>
      </c>
      <c r="C12" s="52">
        <f>IFERROR(B13/$B$27, 0)</f>
        <v>0</v>
      </c>
      <c r="D12" s="53">
        <f>D13*$C$12</f>
        <v>0</v>
      </c>
      <c r="E12" s="53">
        <f t="shared" ref="E12:G12" si="3">E13*$C$12</f>
        <v>0</v>
      </c>
      <c r="F12" s="53">
        <f t="shared" si="3"/>
        <v>0</v>
      </c>
      <c r="G12" s="53">
        <f t="shared" si="3"/>
        <v>0</v>
      </c>
      <c r="H12" s="53"/>
      <c r="I12" s="53"/>
      <c r="J12" s="53">
        <f t="shared" si="0"/>
        <v>0</v>
      </c>
    </row>
    <row r="13" spans="1:10" x14ac:dyDescent="0.3">
      <c r="A13" t="s">
        <v>118</v>
      </c>
      <c r="B13">
        <f>IF(OR(Estimator!$C$14="Institutional", Estimator!$C$14="Mixed",), Estimator!C27, 0)</f>
        <v>0</v>
      </c>
      <c r="C13" s="27">
        <f>IFERROR(B13/B12, 0)</f>
        <v>0</v>
      </c>
      <c r="D13" s="1">
        <f>IFERROR(_xlfn.XLOOKUP(Math!$A$11, List!$A$3:$A$6, List!C$3:C$6, 0)*$C$13, 0)</f>
        <v>0</v>
      </c>
      <c r="E13" s="1">
        <f>IFERROR(_xlfn.XLOOKUP(Math!$A$11, List!$A$3:$A$6, List!D$3:D$6, 0)*$C$13, 0)</f>
        <v>0</v>
      </c>
      <c r="F13" s="1">
        <f>IFERROR(_xlfn.XLOOKUP(Math!$A$11, List!$A$3:$A$6, List!E$3:E$6, 0)*$C$13, 0)</f>
        <v>0</v>
      </c>
      <c r="G13" s="1">
        <f>IFERROR(IF(Estimator!C19="Yes", (_xlfn.XLOOKUP(Math!$A$11, List!$A$3:$A$6, List!F$3:F$6, 0)*$C$13), 0), 0)</f>
        <v>0</v>
      </c>
      <c r="J13" s="1">
        <f t="shared" si="0"/>
        <v>0</v>
      </c>
    </row>
    <row r="14" spans="1:10" x14ac:dyDescent="0.3">
      <c r="A14" s="96" t="s">
        <v>119</v>
      </c>
      <c r="B14" s="96">
        <f>IF(OR(Estimator!$C$14="Institutional", Estimator!$C$14="Mixed",), Estimator!C28, 0)</f>
        <v>0</v>
      </c>
      <c r="J14" s="1">
        <f t="shared" si="0"/>
        <v>0</v>
      </c>
    </row>
    <row r="15" spans="1:10" x14ac:dyDescent="0.3">
      <c r="A15" s="54" t="s">
        <v>117</v>
      </c>
      <c r="B15" s="54">
        <f>SUM(B13, -B14)</f>
        <v>0</v>
      </c>
      <c r="C15" s="55">
        <f>B15/1000</f>
        <v>0</v>
      </c>
      <c r="D15" s="56">
        <f>IFERROR(_xlfn.XLOOKUP(Math!$A$11, List!$A$3:$A$6, List!C$3:C$6, 0)*$C15, 0)</f>
        <v>0</v>
      </c>
      <c r="E15" s="56">
        <f>IFERROR(_xlfn.XLOOKUP(Math!$A$11, List!$A$3:$A$6, List!D$3:D$6, 0)*$C15, 0)</f>
        <v>0</v>
      </c>
      <c r="F15" s="56">
        <f>IFERROR(_xlfn.XLOOKUP(Math!$A$11, List!$A$3:$A$6, List!E$3:E$6, 0)*$C15, 0)</f>
        <v>0</v>
      </c>
      <c r="G15" s="56">
        <f>IFERROR(_xlfn.XLOOKUP(Math!$A$11, List!$A$3:$A$6, List!F$3:F$6, 0)*$C15, 0)</f>
        <v>0</v>
      </c>
      <c r="H15" s="56"/>
      <c r="I15" s="56"/>
      <c r="J15" s="56">
        <f>SUM(D15:I15)</f>
        <v>0</v>
      </c>
    </row>
    <row r="16" spans="1:10" x14ac:dyDescent="0.3">
      <c r="A16" s="26" t="s">
        <v>120</v>
      </c>
      <c r="J16" s="1">
        <f t="shared" si="0"/>
        <v>0</v>
      </c>
    </row>
    <row r="17" spans="1:10" x14ac:dyDescent="0.3">
      <c r="A17" s="51" t="s">
        <v>114</v>
      </c>
      <c r="B17" s="51">
        <f>SUM(B18,B19)</f>
        <v>0</v>
      </c>
      <c r="C17" s="52">
        <f>IFERROR(B18/$B$27, 0)</f>
        <v>0</v>
      </c>
      <c r="D17" s="53">
        <f>D18*$C$17</f>
        <v>0</v>
      </c>
      <c r="E17" s="53">
        <f t="shared" ref="E17:F17" si="4">E18*$C$17</f>
        <v>0</v>
      </c>
      <c r="F17" s="53">
        <f t="shared" si="4"/>
        <v>0</v>
      </c>
      <c r="G17" s="53">
        <f>G18*$C$17</f>
        <v>0</v>
      </c>
      <c r="H17" s="53"/>
      <c r="I17" s="53"/>
      <c r="J17" s="53">
        <f t="shared" si="0"/>
        <v>0</v>
      </c>
    </row>
    <row r="18" spans="1:10" x14ac:dyDescent="0.3">
      <c r="A18" t="s">
        <v>118</v>
      </c>
      <c r="B18">
        <f>IF(OR(Estimator!$C$14="Retail/Commercial", Estimator!$C$14="Mixed",), Estimator!C29, 0)</f>
        <v>0</v>
      </c>
      <c r="C18" s="27">
        <f>IFERROR(B18/B17, 0)</f>
        <v>0</v>
      </c>
      <c r="D18" s="1">
        <f>IFERROR(_xlfn.XLOOKUP(Math!$A$16, List!$A$3:$A$6, List!C$3:C$6, 0)*$C$18, 0)</f>
        <v>0</v>
      </c>
      <c r="E18" s="1">
        <f>IFERROR(_xlfn.XLOOKUP(Math!$A$16, List!$A$3:$A$6, List!D$3:D$6, 0)*$C$18, 0)</f>
        <v>0</v>
      </c>
      <c r="F18" s="1">
        <f>IFERROR(_xlfn.XLOOKUP(Math!$A$16, List!$A$3:$A$6, List!E$3:E$6, 0)*$C$18, 0)</f>
        <v>0</v>
      </c>
      <c r="G18" s="1">
        <f>IFERROR(IF(Estimator!C19="Yes", (_xlfn.XLOOKUP(Math!$A$16, List!$A$3:$A$6, List!F$3:F$6, 0)*$C$18), 0), 0)</f>
        <v>0</v>
      </c>
      <c r="J18" s="1">
        <f t="shared" si="0"/>
        <v>0</v>
      </c>
    </row>
    <row r="19" spans="1:10" x14ac:dyDescent="0.3">
      <c r="A19" s="96" t="s">
        <v>119</v>
      </c>
      <c r="B19" s="96">
        <f>IF(OR(Estimator!$C$14="Retail/Commercial", Estimator!$C$14="Mixed",), Estimator!C30, 0)</f>
        <v>0</v>
      </c>
      <c r="J19" s="1">
        <f t="shared" si="0"/>
        <v>0</v>
      </c>
    </row>
    <row r="20" spans="1:10" x14ac:dyDescent="0.3">
      <c r="A20" s="54" t="s">
        <v>117</v>
      </c>
      <c r="B20" s="54">
        <f>SUM(B18, -B19)</f>
        <v>0</v>
      </c>
      <c r="C20" s="55">
        <f>B20/1000</f>
        <v>0</v>
      </c>
      <c r="D20" s="56">
        <f>IFERROR(_xlfn.XLOOKUP(Math!$A$16, List!$A$3:$A$6, List!C$3:C$6, 0)*$C20, 0)</f>
        <v>0</v>
      </c>
      <c r="E20" s="56">
        <f>IFERROR(_xlfn.XLOOKUP(Math!$A$16, List!$A$3:$A$6, List!D$3:D$6, 0)*$C20, 0)</f>
        <v>0</v>
      </c>
      <c r="F20" s="56">
        <f>IFERROR(_xlfn.XLOOKUP(Math!$A$16, List!$A$3:$A$6, List!E$3:E$6, 0)*$C20, 0)</f>
        <v>0</v>
      </c>
      <c r="G20" s="56">
        <f>IFERROR(_xlfn.XLOOKUP(Math!$A$16, List!$A$3:$A$6, List!F$3:F$6, 0)*$C20, 0)</f>
        <v>0</v>
      </c>
      <c r="H20" s="56"/>
      <c r="I20" s="56"/>
      <c r="J20" s="56">
        <f t="shared" si="0"/>
        <v>0</v>
      </c>
    </row>
    <row r="21" spans="1:10" x14ac:dyDescent="0.3">
      <c r="A21" s="26" t="s">
        <v>11</v>
      </c>
      <c r="J21" s="1">
        <f t="shared" si="0"/>
        <v>0</v>
      </c>
    </row>
    <row r="22" spans="1:10" x14ac:dyDescent="0.3">
      <c r="A22" s="51" t="s">
        <v>114</v>
      </c>
      <c r="B22" s="51">
        <f>SUM(B23,B24)</f>
        <v>0</v>
      </c>
      <c r="C22" s="52">
        <f>IFERROR(B23/$B$27, 0)</f>
        <v>0</v>
      </c>
      <c r="D22" s="53">
        <f>D23*$C$22</f>
        <v>0</v>
      </c>
      <c r="E22" s="53">
        <f t="shared" ref="E22:G22" si="5">E23*$C$22</f>
        <v>0</v>
      </c>
      <c r="F22" s="53">
        <f t="shared" si="5"/>
        <v>0</v>
      </c>
      <c r="G22" s="53">
        <f t="shared" si="5"/>
        <v>0</v>
      </c>
      <c r="H22" s="53"/>
      <c r="I22" s="53"/>
      <c r="J22" s="53">
        <f t="shared" si="0"/>
        <v>0</v>
      </c>
    </row>
    <row r="23" spans="1:10" x14ac:dyDescent="0.3">
      <c r="A23" t="s">
        <v>118</v>
      </c>
      <c r="B23">
        <f>IF(OR(Estimator!$C$14="Office", Estimator!$C$14="Mixed",), Estimator!C31, 0)</f>
        <v>0</v>
      </c>
      <c r="C23" s="27">
        <f>IFERROR(B23/B22, 0)</f>
        <v>0</v>
      </c>
      <c r="D23" s="1">
        <f>IFERROR(_xlfn.XLOOKUP(Math!$A$21, List!$A$3:$A$6, List!C$3:C$6, 0)*$C$23, 0)</f>
        <v>0</v>
      </c>
      <c r="E23" s="1">
        <f>IFERROR(_xlfn.XLOOKUP(Math!$A$21, List!$A$3:$A$6, List!D$3:D$6, 0)*$C$23, 0)</f>
        <v>0</v>
      </c>
      <c r="F23" s="1">
        <f>IFERROR(_xlfn.XLOOKUP(Math!$A$21, List!$A$3:$A$6, List!E$3:E$6, 0)*$C$23, 0)</f>
        <v>0</v>
      </c>
      <c r="G23" s="1">
        <f>IFERROR(IF(Estimator!C19="Yes", (_xlfn.XLOOKUP(Math!$A$21, List!$A$3:$A$6, List!F$3:F$6, 0)*$C$23), 0), 0)</f>
        <v>0</v>
      </c>
      <c r="J23" s="1">
        <f t="shared" si="0"/>
        <v>0</v>
      </c>
    </row>
    <row r="24" spans="1:10" x14ac:dyDescent="0.3">
      <c r="A24" s="96" t="s">
        <v>119</v>
      </c>
      <c r="B24" s="96">
        <f>IF(OR(Estimator!$C$14="Office", Estimator!$C$14="Mixed",), Estimator!C32, 0)</f>
        <v>0</v>
      </c>
      <c r="J24" s="1">
        <f t="shared" si="0"/>
        <v>0</v>
      </c>
    </row>
    <row r="25" spans="1:10" x14ac:dyDescent="0.3">
      <c r="A25" s="54" t="s">
        <v>117</v>
      </c>
      <c r="B25" s="54">
        <f>SUM(B23, -B24)</f>
        <v>0</v>
      </c>
      <c r="C25" s="55">
        <f>B25/1000</f>
        <v>0</v>
      </c>
      <c r="D25" s="56">
        <f>IFERROR(_xlfn.XLOOKUP(Math!$A$21, List!$A$3:$A$6, List!C$3:C$6, 0)*$C25, 0)</f>
        <v>0</v>
      </c>
      <c r="E25" s="56">
        <f>IFERROR(_xlfn.XLOOKUP(Math!$A$21, List!$A$3:$A$6, List!D$3:D$6, 0)*$C25, 0)</f>
        <v>0</v>
      </c>
      <c r="F25" s="56">
        <f>IFERROR(_xlfn.XLOOKUP(Math!$A$21, List!$A$3:$A$6, List!E$3:E$6, 0)*$C25, 0)</f>
        <v>0</v>
      </c>
      <c r="G25" s="56">
        <f>IFERROR(_xlfn.XLOOKUP(Math!$A$21, List!$A$3:$A$6, List!F$3:F$6, 0)*$C25, 0)</f>
        <v>0</v>
      </c>
      <c r="H25" s="56"/>
      <c r="I25" s="56"/>
      <c r="J25" s="56">
        <f t="shared" si="0"/>
        <v>0</v>
      </c>
    </row>
    <row r="26" spans="1:10" x14ac:dyDescent="0.3">
      <c r="A26" s="26" t="s">
        <v>121</v>
      </c>
      <c r="J26" s="1">
        <f t="shared" si="0"/>
        <v>0</v>
      </c>
    </row>
    <row r="27" spans="1:10" x14ac:dyDescent="0.3">
      <c r="A27" s="51" t="s">
        <v>114</v>
      </c>
      <c r="B27" s="51">
        <f>SUM(B8,B13,B18,B23)</f>
        <v>0</v>
      </c>
      <c r="C27" s="52">
        <f t="shared" ref="C27:J27" si="6">SUM(C7,C12,C17,C22)</f>
        <v>0</v>
      </c>
      <c r="D27" s="53">
        <f t="shared" si="6"/>
        <v>0</v>
      </c>
      <c r="E27" s="53">
        <f t="shared" si="6"/>
        <v>0</v>
      </c>
      <c r="F27" s="53">
        <f t="shared" si="6"/>
        <v>0</v>
      </c>
      <c r="G27" s="53">
        <f t="shared" si="6"/>
        <v>0</v>
      </c>
      <c r="H27" s="53"/>
      <c r="I27" s="53"/>
      <c r="J27" s="53">
        <f t="shared" si="6"/>
        <v>0</v>
      </c>
    </row>
    <row r="28" spans="1:10" x14ac:dyDescent="0.3">
      <c r="A28" s="54" t="s">
        <v>122</v>
      </c>
      <c r="B28" s="54">
        <f>SUM(B10,B15,B20,B25)</f>
        <v>0</v>
      </c>
      <c r="C28" s="55"/>
      <c r="D28" s="56">
        <f>SUM(D10,D15,D20,D25)</f>
        <v>0</v>
      </c>
      <c r="E28" s="56">
        <f t="shared" ref="E28:G28" si="7">SUM(E10,E15,E20,E25)</f>
        <v>0</v>
      </c>
      <c r="F28" s="56">
        <f t="shared" si="7"/>
        <v>0</v>
      </c>
      <c r="G28" s="56">
        <f t="shared" si="7"/>
        <v>0</v>
      </c>
      <c r="H28" s="56"/>
      <c r="I28" s="56"/>
      <c r="J28" s="56">
        <f>SUM(J10,J15,J20,J25)</f>
        <v>0</v>
      </c>
    </row>
    <row r="29" spans="1:10" x14ac:dyDescent="0.3">
      <c r="A29" s="26" t="s">
        <v>19</v>
      </c>
      <c r="J29" s="1">
        <f>SUM(J8,J13,J18,J23)</f>
        <v>0</v>
      </c>
    </row>
    <row r="30" spans="1:10" x14ac:dyDescent="0.3">
      <c r="A30" s="58" t="s">
        <v>114</v>
      </c>
      <c r="B30" s="58">
        <f>SUM(B2,B7,B12,B17,B22)</f>
        <v>0</v>
      </c>
      <c r="C30" s="59"/>
      <c r="D30" s="60">
        <f>SUM(D5,D27)</f>
        <v>0</v>
      </c>
      <c r="E30" s="60">
        <f t="shared" ref="E30:J30" si="8">SUM(E5,E27)</f>
        <v>0</v>
      </c>
      <c r="F30" s="60">
        <f t="shared" si="8"/>
        <v>0</v>
      </c>
      <c r="G30" s="60">
        <f t="shared" si="8"/>
        <v>0</v>
      </c>
      <c r="H30" s="60">
        <f t="shared" si="8"/>
        <v>0</v>
      </c>
      <c r="I30" s="60">
        <f t="shared" si="8"/>
        <v>0</v>
      </c>
      <c r="J30" s="60">
        <f t="shared" si="8"/>
        <v>0</v>
      </c>
    </row>
    <row r="31" spans="1:10" x14ac:dyDescent="0.3">
      <c r="A31" s="57" t="s">
        <v>123</v>
      </c>
      <c r="B31" s="57">
        <f>SUM(B5,B10,B15,B20,B25)</f>
        <v>0</v>
      </c>
      <c r="C31" s="61"/>
      <c r="D31" s="62">
        <f>SUM(D5,D28)</f>
        <v>0</v>
      </c>
      <c r="E31" s="62">
        <f t="shared" ref="E31:J31" si="9">SUM(E5,E28)</f>
        <v>0</v>
      </c>
      <c r="F31" s="62">
        <f t="shared" si="9"/>
        <v>0</v>
      </c>
      <c r="G31" s="62">
        <f t="shared" si="9"/>
        <v>0</v>
      </c>
      <c r="H31" s="62">
        <f t="shared" si="9"/>
        <v>0</v>
      </c>
      <c r="I31" s="62">
        <f t="shared" si="9"/>
        <v>0</v>
      </c>
      <c r="J31" s="62">
        <f t="shared" si="9"/>
        <v>0</v>
      </c>
    </row>
  </sheetData>
  <sheetProtection algorithmName="SHA-512" hashValue="D/VhSty22uDrusRhwnEVw24pey1eMyZlw54JGbxwO86UqVZ/O7WjVv+SNFaTqWOK4UIKWSGWrtnlmehlARHXRw==" saltValue="i5CDp4jT4RxI/Ph60kK2l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C291-ECB9-44F3-92F4-17B477F06FAC}">
  <dimension ref="A1:J33"/>
  <sheetViews>
    <sheetView showGridLines="0" view="pageLayout" topLeftCell="A7" zoomScaleNormal="100" workbookViewId="0">
      <selection activeCell="A31" sqref="A31"/>
    </sheetView>
  </sheetViews>
  <sheetFormatPr defaultRowHeight="14.4" x14ac:dyDescent="0.3"/>
  <cols>
    <col min="1" max="1" width="19" customWidth="1"/>
    <col min="2" max="3" width="11.109375" customWidth="1"/>
    <col min="4" max="4" width="14.44140625" customWidth="1"/>
    <col min="5" max="5" width="13.6640625" customWidth="1"/>
    <col min="6" max="6" width="10.5546875" customWidth="1"/>
    <col min="7" max="7" width="11.44140625" customWidth="1"/>
    <col min="9" max="9" width="12.44140625" customWidth="1"/>
  </cols>
  <sheetData>
    <row r="1" spans="1:10" ht="20.25" customHeight="1" x14ac:dyDescent="0.3">
      <c r="B1" s="1"/>
      <c r="C1" s="1"/>
      <c r="G1" s="244" t="s">
        <v>124</v>
      </c>
      <c r="H1" s="244"/>
      <c r="I1" s="244"/>
      <c r="J1" s="244"/>
    </row>
    <row r="2" spans="1:10" ht="21" x14ac:dyDescent="0.3">
      <c r="B2" s="1"/>
      <c r="C2" s="1"/>
      <c r="F2" s="2"/>
      <c r="G2" s="244"/>
      <c r="H2" s="244"/>
      <c r="I2" s="244"/>
      <c r="J2" s="244"/>
    </row>
    <row r="3" spans="1:10" ht="21" x14ac:dyDescent="0.3">
      <c r="B3" s="1"/>
      <c r="C3" s="1"/>
      <c r="F3" s="2"/>
      <c r="G3" s="244"/>
      <c r="H3" s="244"/>
      <c r="I3" s="244"/>
      <c r="J3" s="244"/>
    </row>
    <row r="4" spans="1:10" ht="21" x14ac:dyDescent="0.3">
      <c r="B4" s="1"/>
      <c r="C4" s="1"/>
      <c r="F4" s="2"/>
      <c r="G4" s="244"/>
      <c r="H4" s="244"/>
      <c r="I4" s="244"/>
      <c r="J4" s="244"/>
    </row>
    <row r="5" spans="1:10" ht="15" customHeight="1" x14ac:dyDescent="0.3">
      <c r="B5" s="1"/>
      <c r="C5" s="1"/>
      <c r="G5" s="244"/>
      <c r="H5" s="244"/>
      <c r="I5" s="244"/>
      <c r="J5" s="244"/>
    </row>
    <row r="6" spans="1:10" ht="18.75" customHeight="1" x14ac:dyDescent="0.35">
      <c r="A6" s="3" t="s">
        <v>16</v>
      </c>
      <c r="B6" s="1"/>
      <c r="C6" s="1"/>
      <c r="G6" s="244"/>
      <c r="H6" s="244"/>
      <c r="I6" s="244"/>
      <c r="J6" s="244"/>
    </row>
    <row r="7" spans="1:10" ht="18.600000000000001" thickBot="1" x14ac:dyDescent="0.4">
      <c r="A7" s="3"/>
      <c r="B7" s="1"/>
      <c r="C7" s="1"/>
    </row>
    <row r="8" spans="1:10" ht="30.75" customHeight="1" thickBot="1" x14ac:dyDescent="0.35">
      <c r="A8" s="181" t="s">
        <v>125</v>
      </c>
      <c r="B8" s="182"/>
      <c r="C8" s="182"/>
      <c r="D8" s="182"/>
      <c r="E8" s="183"/>
      <c r="F8" s="63"/>
      <c r="G8" s="63"/>
    </row>
    <row r="9" spans="1:10" ht="72" x14ac:dyDescent="0.3">
      <c r="A9" s="6" t="s">
        <v>18</v>
      </c>
      <c r="B9" s="17" t="s">
        <v>19</v>
      </c>
      <c r="C9" s="8" t="s">
        <v>126</v>
      </c>
      <c r="D9" s="8" t="s">
        <v>127</v>
      </c>
      <c r="E9" s="66" t="s">
        <v>128</v>
      </c>
      <c r="F9" s="4"/>
      <c r="G9" s="4"/>
      <c r="H9" s="4"/>
      <c r="I9" s="4"/>
    </row>
    <row r="10" spans="1:10" x14ac:dyDescent="0.3">
      <c r="A10" s="10" t="s">
        <v>22</v>
      </c>
      <c r="B10" s="16">
        <f>SUM(C10:E10)</f>
        <v>1566</v>
      </c>
      <c r="C10" s="5">
        <v>216</v>
      </c>
      <c r="D10" s="5">
        <v>114</v>
      </c>
      <c r="E10" s="67">
        <v>1236</v>
      </c>
    </row>
    <row r="11" spans="1:10" x14ac:dyDescent="0.3">
      <c r="A11" s="10" t="s">
        <v>23</v>
      </c>
      <c r="B11" s="16">
        <f t="shared" ref="B11:B13" si="0">SUM(C11:E11)</f>
        <v>2402</v>
      </c>
      <c r="C11" s="5">
        <v>466</v>
      </c>
      <c r="D11" s="5">
        <v>247</v>
      </c>
      <c r="E11" s="67">
        <v>1689</v>
      </c>
    </row>
    <row r="12" spans="1:10" x14ac:dyDescent="0.3">
      <c r="A12" s="10" t="s">
        <v>24</v>
      </c>
      <c r="B12" s="16">
        <f t="shared" si="0"/>
        <v>5901</v>
      </c>
      <c r="C12" s="5">
        <v>1248</v>
      </c>
      <c r="D12" s="5">
        <v>660</v>
      </c>
      <c r="E12" s="67">
        <v>3993</v>
      </c>
    </row>
    <row r="13" spans="1:10" ht="15" thickBot="1" x14ac:dyDescent="0.35">
      <c r="A13" s="12" t="s">
        <v>25</v>
      </c>
      <c r="B13" s="18">
        <f t="shared" si="0"/>
        <v>2989</v>
      </c>
      <c r="C13" s="13">
        <v>424</v>
      </c>
      <c r="D13" s="13">
        <v>224</v>
      </c>
      <c r="E13" s="68">
        <v>2341</v>
      </c>
    </row>
    <row r="14" spans="1:10" x14ac:dyDescent="0.3">
      <c r="B14" s="1"/>
      <c r="C14" s="1"/>
    </row>
    <row r="15" spans="1:10" ht="18" x14ac:dyDescent="0.35">
      <c r="A15" s="3" t="s">
        <v>29</v>
      </c>
    </row>
    <row r="16" spans="1:10" ht="15" thickBot="1" x14ac:dyDescent="0.35"/>
    <row r="17" spans="1:9" ht="35.25" customHeight="1" thickBot="1" x14ac:dyDescent="0.35">
      <c r="A17" s="181" t="s">
        <v>129</v>
      </c>
      <c r="B17" s="182"/>
      <c r="C17" s="182"/>
      <c r="D17" s="182"/>
      <c r="E17" s="182"/>
      <c r="F17" s="183"/>
      <c r="G17" s="64"/>
      <c r="H17" s="64"/>
      <c r="I17" s="64"/>
    </row>
    <row r="18" spans="1:9" s="20" customFormat="1" ht="57.6" x14ac:dyDescent="0.3">
      <c r="A18" s="19" t="s">
        <v>31</v>
      </c>
      <c r="B18" s="15" t="s">
        <v>19</v>
      </c>
      <c r="C18" s="8" t="s">
        <v>130</v>
      </c>
      <c r="D18" s="8" t="s">
        <v>127</v>
      </c>
      <c r="E18" s="8" t="s">
        <v>131</v>
      </c>
      <c r="F18" s="66" t="s">
        <v>132</v>
      </c>
    </row>
    <row r="19" spans="1:9" x14ac:dyDescent="0.3">
      <c r="A19" s="10" t="s">
        <v>34</v>
      </c>
      <c r="B19" s="16">
        <f t="shared" ref="B19:B33" si="1">SUM(C19:F19)</f>
        <v>1736</v>
      </c>
      <c r="C19" s="5">
        <v>171</v>
      </c>
      <c r="D19" s="5">
        <v>77</v>
      </c>
      <c r="E19" s="5">
        <v>100</v>
      </c>
      <c r="F19" s="67">
        <v>1388</v>
      </c>
    </row>
    <row r="20" spans="1:9" x14ac:dyDescent="0.3">
      <c r="A20" s="10" t="s">
        <v>35</v>
      </c>
      <c r="B20" s="16">
        <f t="shared" si="1"/>
        <v>2026</v>
      </c>
      <c r="C20" s="5">
        <v>236</v>
      </c>
      <c r="D20" s="5">
        <v>106</v>
      </c>
      <c r="E20" s="5">
        <v>138</v>
      </c>
      <c r="F20" s="67">
        <v>1546</v>
      </c>
    </row>
    <row r="21" spans="1:9" x14ac:dyDescent="0.3">
      <c r="A21" s="10" t="s">
        <v>36</v>
      </c>
      <c r="B21" s="16">
        <f t="shared" si="1"/>
        <v>2298</v>
      </c>
      <c r="C21" s="5">
        <v>286</v>
      </c>
      <c r="D21" s="5">
        <v>128</v>
      </c>
      <c r="E21" s="5">
        <v>167</v>
      </c>
      <c r="F21" s="67">
        <v>1717</v>
      </c>
    </row>
    <row r="22" spans="1:9" x14ac:dyDescent="0.3">
      <c r="A22" s="10" t="s">
        <v>37</v>
      </c>
      <c r="B22" s="16">
        <f t="shared" si="1"/>
        <v>2511</v>
      </c>
      <c r="C22" s="5">
        <v>330</v>
      </c>
      <c r="D22" s="5">
        <v>147</v>
      </c>
      <c r="E22" s="5">
        <v>193</v>
      </c>
      <c r="F22" s="67">
        <v>1841</v>
      </c>
    </row>
    <row r="23" spans="1:9" x14ac:dyDescent="0.3">
      <c r="A23" s="10" t="s">
        <v>38</v>
      </c>
      <c r="B23" s="16">
        <f t="shared" si="1"/>
        <v>2809</v>
      </c>
      <c r="C23" s="5">
        <v>363</v>
      </c>
      <c r="D23" s="5">
        <v>163</v>
      </c>
      <c r="E23" s="5">
        <v>212</v>
      </c>
      <c r="F23" s="67">
        <v>2071</v>
      </c>
    </row>
    <row r="24" spans="1:9" x14ac:dyDescent="0.3">
      <c r="A24" s="10" t="s">
        <v>39</v>
      </c>
      <c r="B24" s="16">
        <f t="shared" si="1"/>
        <v>2963</v>
      </c>
      <c r="C24" s="5">
        <v>394</v>
      </c>
      <c r="D24" s="5">
        <v>177</v>
      </c>
      <c r="E24" s="5">
        <v>230</v>
      </c>
      <c r="F24" s="67">
        <v>2162</v>
      </c>
    </row>
    <row r="25" spans="1:9" x14ac:dyDescent="0.3">
      <c r="A25" s="10" t="s">
        <v>40</v>
      </c>
      <c r="B25" s="16">
        <f t="shared" si="1"/>
        <v>3193</v>
      </c>
      <c r="C25" s="5">
        <v>422</v>
      </c>
      <c r="D25" s="5">
        <v>189</v>
      </c>
      <c r="E25" s="5">
        <v>247</v>
      </c>
      <c r="F25" s="67">
        <v>2335</v>
      </c>
    </row>
    <row r="26" spans="1:9" x14ac:dyDescent="0.3">
      <c r="A26" s="10" t="s">
        <v>41</v>
      </c>
      <c r="B26" s="16">
        <f t="shared" si="1"/>
        <v>3311</v>
      </c>
      <c r="C26" s="5">
        <v>445</v>
      </c>
      <c r="D26" s="5">
        <v>199</v>
      </c>
      <c r="E26" s="5">
        <v>260</v>
      </c>
      <c r="F26" s="67">
        <v>2407</v>
      </c>
    </row>
    <row r="27" spans="1:9" x14ac:dyDescent="0.3">
      <c r="A27" s="10" t="s">
        <v>42</v>
      </c>
      <c r="B27" s="16">
        <f t="shared" si="1"/>
        <v>3503</v>
      </c>
      <c r="C27" s="5">
        <v>468</v>
      </c>
      <c r="D27" s="5">
        <v>210</v>
      </c>
      <c r="E27" s="5">
        <v>274</v>
      </c>
      <c r="F27" s="67">
        <v>2551</v>
      </c>
    </row>
    <row r="28" spans="1:9" x14ac:dyDescent="0.3">
      <c r="A28" s="10" t="s">
        <v>43</v>
      </c>
      <c r="B28" s="16">
        <f t="shared" si="1"/>
        <v>3599</v>
      </c>
      <c r="C28" s="5">
        <v>487</v>
      </c>
      <c r="D28" s="5">
        <v>218</v>
      </c>
      <c r="E28" s="5">
        <v>284</v>
      </c>
      <c r="F28" s="67">
        <v>2610</v>
      </c>
    </row>
    <row r="29" spans="1:9" x14ac:dyDescent="0.3">
      <c r="A29" s="10" t="s">
        <v>44</v>
      </c>
      <c r="B29" s="16">
        <f t="shared" si="1"/>
        <v>3692</v>
      </c>
      <c r="C29" s="5">
        <v>505</v>
      </c>
      <c r="D29" s="5">
        <v>226</v>
      </c>
      <c r="E29" s="5">
        <v>295</v>
      </c>
      <c r="F29" s="67">
        <v>2666</v>
      </c>
    </row>
    <row r="30" spans="1:9" x14ac:dyDescent="0.3">
      <c r="A30" s="10" t="s">
        <v>45</v>
      </c>
      <c r="B30" s="16">
        <f t="shared" si="1"/>
        <v>3807</v>
      </c>
      <c r="C30" s="5">
        <v>522</v>
      </c>
      <c r="D30" s="5">
        <v>234</v>
      </c>
      <c r="E30" s="5">
        <v>305</v>
      </c>
      <c r="F30" s="67">
        <v>2746</v>
      </c>
    </row>
    <row r="31" spans="1:9" x14ac:dyDescent="0.3">
      <c r="A31" s="10" t="s">
        <v>46</v>
      </c>
      <c r="B31" s="16">
        <f t="shared" si="1"/>
        <v>3924</v>
      </c>
      <c r="C31" s="5">
        <v>539</v>
      </c>
      <c r="D31" s="5">
        <v>242</v>
      </c>
      <c r="E31" s="5">
        <v>315</v>
      </c>
      <c r="F31" s="67">
        <v>2828</v>
      </c>
    </row>
    <row r="32" spans="1:9" x14ac:dyDescent="0.3">
      <c r="A32" s="10" t="s">
        <v>47</v>
      </c>
      <c r="B32" s="16">
        <f t="shared" si="1"/>
        <v>4026</v>
      </c>
      <c r="C32" s="5">
        <v>553</v>
      </c>
      <c r="D32" s="5">
        <v>248</v>
      </c>
      <c r="E32" s="5">
        <v>323</v>
      </c>
      <c r="F32" s="67">
        <v>2902</v>
      </c>
    </row>
    <row r="33" spans="1:6" ht="15" thickBot="1" x14ac:dyDescent="0.35">
      <c r="A33" s="12" t="s">
        <v>48</v>
      </c>
      <c r="B33" s="18">
        <f t="shared" si="1"/>
        <v>4091</v>
      </c>
      <c r="C33" s="13">
        <v>567</v>
      </c>
      <c r="D33" s="13">
        <v>254</v>
      </c>
      <c r="E33" s="13">
        <v>331</v>
      </c>
      <c r="F33" s="68">
        <v>2939</v>
      </c>
    </row>
  </sheetData>
  <sheetProtection algorithmName="SHA-512" hashValue="wgbV+A3oaZ6kALtB3tkqv7wVikuLUwaeB7ABl2xb6V0Aw62jg1I1MQPmaacuBJoQoaUOeCLH/t7BJckDIaa4KQ==" saltValue="ZCqa0RiOigQh9Uxg7aZtkw==" spinCount="100000" sheet="1" objects="1" scenarios="1"/>
  <mergeCells count="3">
    <mergeCell ref="G1:J6"/>
    <mergeCell ref="A8:E8"/>
    <mergeCell ref="A17:F17"/>
  </mergeCells>
  <pageMargins left="0.7" right="0.7" top="0.75" bottom="0.75" header="0.3" footer="0.3"/>
  <pageSetup orientation="landscape" r:id="rId1"/>
  <headerFooter>
    <oddFooter>&amp;RIMPACT FEE SCHEDULE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B64E-D5BA-40B3-A871-512BCB1C000B}">
  <dimension ref="A1:G94"/>
  <sheetViews>
    <sheetView workbookViewId="0">
      <selection activeCell="A31" sqref="A31"/>
    </sheetView>
  </sheetViews>
  <sheetFormatPr defaultRowHeight="14.4" x14ac:dyDescent="0.3"/>
  <cols>
    <col min="1" max="1" width="27.44140625" customWidth="1"/>
    <col min="2" max="2" width="23.44140625" customWidth="1"/>
    <col min="3" max="3" width="16.5546875" customWidth="1"/>
    <col min="4" max="4" width="17.109375" customWidth="1"/>
    <col min="5" max="5" width="14.88671875" customWidth="1"/>
    <col min="6" max="6" width="17.33203125" customWidth="1"/>
  </cols>
  <sheetData>
    <row r="1" spans="1:6" ht="15" thickBot="1" x14ac:dyDescent="0.35"/>
    <row r="2" spans="1:6" s="20" customFormat="1" ht="29.4" thickBot="1" x14ac:dyDescent="0.35">
      <c r="A2" s="76" t="s">
        <v>133</v>
      </c>
      <c r="B2" s="77"/>
      <c r="C2" s="90"/>
      <c r="D2" s="78" t="s">
        <v>20</v>
      </c>
      <c r="E2" s="78" t="s">
        <v>134</v>
      </c>
      <c r="F2" s="79" t="s">
        <v>135</v>
      </c>
    </row>
    <row r="3" spans="1:6" x14ac:dyDescent="0.3">
      <c r="A3" s="75" t="s">
        <v>22</v>
      </c>
      <c r="C3" s="91"/>
      <c r="D3" s="1">
        <v>216</v>
      </c>
      <c r="E3" s="1">
        <v>114</v>
      </c>
      <c r="F3" s="71">
        <v>667</v>
      </c>
    </row>
    <row r="4" spans="1:6" x14ac:dyDescent="0.3">
      <c r="A4" s="10" t="s">
        <v>23</v>
      </c>
      <c r="C4" s="91"/>
      <c r="D4" s="1">
        <v>466</v>
      </c>
      <c r="E4" s="1">
        <v>247</v>
      </c>
      <c r="F4" s="71">
        <v>1442</v>
      </c>
    </row>
    <row r="5" spans="1:6" x14ac:dyDescent="0.3">
      <c r="A5" s="10" t="s">
        <v>24</v>
      </c>
      <c r="C5" s="91"/>
      <c r="D5" s="1">
        <v>1248</v>
      </c>
      <c r="E5" s="1">
        <v>660</v>
      </c>
      <c r="F5" s="71">
        <v>3859</v>
      </c>
    </row>
    <row r="6" spans="1:6" ht="15" thickBot="1" x14ac:dyDescent="0.35">
      <c r="A6" s="12" t="s">
        <v>25</v>
      </c>
      <c r="B6" s="72"/>
      <c r="C6" s="92"/>
      <c r="D6" s="73">
        <v>424</v>
      </c>
      <c r="E6" s="73">
        <v>224</v>
      </c>
      <c r="F6" s="74">
        <v>1310</v>
      </c>
    </row>
    <row r="7" spans="1:6" ht="29.4" thickBot="1" x14ac:dyDescent="0.35">
      <c r="A7" s="81" t="s">
        <v>13</v>
      </c>
      <c r="B7" s="78"/>
      <c r="C7" s="90"/>
      <c r="D7" s="78" t="s">
        <v>20</v>
      </c>
      <c r="E7" s="78" t="s">
        <v>134</v>
      </c>
      <c r="F7" s="79" t="s">
        <v>135</v>
      </c>
    </row>
    <row r="8" spans="1:6" x14ac:dyDescent="0.3">
      <c r="A8" s="75" t="s">
        <v>136</v>
      </c>
      <c r="B8" s="24" t="s">
        <v>137</v>
      </c>
      <c r="C8" s="91"/>
      <c r="D8" s="1">
        <v>171</v>
      </c>
      <c r="E8" s="1">
        <v>77</v>
      </c>
      <c r="F8" s="71">
        <v>902</v>
      </c>
    </row>
    <row r="9" spans="1:6" x14ac:dyDescent="0.3">
      <c r="A9" s="10" t="s">
        <v>35</v>
      </c>
      <c r="B9" s="24" t="s">
        <v>138</v>
      </c>
      <c r="C9" s="91"/>
      <c r="D9" s="1">
        <v>236</v>
      </c>
      <c r="E9" s="1">
        <v>106</v>
      </c>
      <c r="F9" s="71">
        <v>1244</v>
      </c>
    </row>
    <row r="10" spans="1:6" x14ac:dyDescent="0.3">
      <c r="A10" s="10" t="s">
        <v>36</v>
      </c>
      <c r="B10" s="24" t="s">
        <v>139</v>
      </c>
      <c r="C10" s="91"/>
      <c r="D10" s="1">
        <v>286</v>
      </c>
      <c r="E10" s="1">
        <v>128</v>
      </c>
      <c r="F10" s="71">
        <v>1512</v>
      </c>
    </row>
    <row r="11" spans="1:6" x14ac:dyDescent="0.3">
      <c r="A11" s="10" t="s">
        <v>37</v>
      </c>
      <c r="B11" s="24" t="s">
        <v>140</v>
      </c>
      <c r="C11" s="91"/>
      <c r="D11" s="1">
        <v>330</v>
      </c>
      <c r="E11" s="1">
        <v>147</v>
      </c>
      <c r="F11" s="71">
        <v>1740</v>
      </c>
    </row>
    <row r="12" spans="1:6" x14ac:dyDescent="0.3">
      <c r="A12" s="10" t="s">
        <v>38</v>
      </c>
      <c r="B12" s="24" t="s">
        <v>141</v>
      </c>
      <c r="C12" s="91"/>
      <c r="D12" s="1">
        <v>363</v>
      </c>
      <c r="E12" s="1">
        <v>163</v>
      </c>
      <c r="F12" s="71">
        <v>1919</v>
      </c>
    </row>
    <row r="13" spans="1:6" x14ac:dyDescent="0.3">
      <c r="A13" s="10" t="s">
        <v>39</v>
      </c>
      <c r="B13" s="24" t="s">
        <v>142</v>
      </c>
      <c r="C13" s="91"/>
      <c r="D13" s="1">
        <v>394</v>
      </c>
      <c r="E13" s="1">
        <v>177</v>
      </c>
      <c r="F13" s="71">
        <v>2081</v>
      </c>
    </row>
    <row r="14" spans="1:6" x14ac:dyDescent="0.3">
      <c r="A14" s="10" t="s">
        <v>40</v>
      </c>
      <c r="B14" s="24" t="s">
        <v>143</v>
      </c>
      <c r="C14" s="91"/>
      <c r="D14" s="1">
        <v>422</v>
      </c>
      <c r="E14" s="1">
        <v>189</v>
      </c>
      <c r="F14" s="71">
        <v>2228</v>
      </c>
    </row>
    <row r="15" spans="1:6" x14ac:dyDescent="0.3">
      <c r="A15" s="10" t="s">
        <v>41</v>
      </c>
      <c r="B15" s="24" t="s">
        <v>144</v>
      </c>
      <c r="C15" s="91"/>
      <c r="D15" s="1">
        <v>445</v>
      </c>
      <c r="E15" s="1">
        <v>199</v>
      </c>
      <c r="F15" s="71">
        <v>2350</v>
      </c>
    </row>
    <row r="16" spans="1:6" x14ac:dyDescent="0.3">
      <c r="A16" s="10" t="s">
        <v>42</v>
      </c>
      <c r="B16" s="24" t="s">
        <v>145</v>
      </c>
      <c r="C16" s="91"/>
      <c r="D16" s="1">
        <v>468</v>
      </c>
      <c r="E16" s="1">
        <v>210</v>
      </c>
      <c r="F16" s="71">
        <v>2472</v>
      </c>
    </row>
    <row r="17" spans="1:7" x14ac:dyDescent="0.3">
      <c r="A17" s="10" t="s">
        <v>43</v>
      </c>
      <c r="B17" s="24" t="s">
        <v>146</v>
      </c>
      <c r="C17" s="91"/>
      <c r="D17" s="1">
        <v>487</v>
      </c>
      <c r="E17" s="1">
        <v>218</v>
      </c>
      <c r="F17" s="71">
        <v>2569</v>
      </c>
    </row>
    <row r="18" spans="1:7" x14ac:dyDescent="0.3">
      <c r="A18" s="10" t="s">
        <v>44</v>
      </c>
      <c r="B18" s="24" t="s">
        <v>147</v>
      </c>
      <c r="C18" s="91"/>
      <c r="D18" s="1">
        <v>505</v>
      </c>
      <c r="E18" s="1">
        <v>226</v>
      </c>
      <c r="F18" s="71">
        <v>2667</v>
      </c>
    </row>
    <row r="19" spans="1:7" x14ac:dyDescent="0.3">
      <c r="A19" s="10" t="s">
        <v>45</v>
      </c>
      <c r="B19" s="24" t="s">
        <v>148</v>
      </c>
      <c r="C19" s="91"/>
      <c r="D19" s="1">
        <v>522</v>
      </c>
      <c r="E19" s="1">
        <v>234</v>
      </c>
      <c r="F19" s="71">
        <v>2756</v>
      </c>
    </row>
    <row r="20" spans="1:7" x14ac:dyDescent="0.3">
      <c r="A20" s="10" t="s">
        <v>46</v>
      </c>
      <c r="B20" s="24" t="s">
        <v>149</v>
      </c>
      <c r="C20" s="91"/>
      <c r="D20" s="1">
        <v>539</v>
      </c>
      <c r="E20" s="1">
        <v>242</v>
      </c>
      <c r="F20" s="71">
        <v>2846</v>
      </c>
    </row>
    <row r="21" spans="1:7" x14ac:dyDescent="0.3">
      <c r="A21" s="10" t="s">
        <v>47</v>
      </c>
      <c r="B21" s="24" t="s">
        <v>150</v>
      </c>
      <c r="C21" s="91"/>
      <c r="D21" s="1">
        <v>553</v>
      </c>
      <c r="E21" s="1">
        <v>248</v>
      </c>
      <c r="F21" s="71">
        <v>2919</v>
      </c>
    </row>
    <row r="22" spans="1:7" ht="15" thickBot="1" x14ac:dyDescent="0.35">
      <c r="A22" s="82" t="s">
        <v>48</v>
      </c>
      <c r="B22" s="24" t="s">
        <v>151</v>
      </c>
      <c r="C22" s="91"/>
      <c r="D22" s="1">
        <v>567</v>
      </c>
      <c r="E22" s="1">
        <v>254</v>
      </c>
      <c r="F22" s="71">
        <v>2992</v>
      </c>
    </row>
    <row r="23" spans="1:7" s="20" customFormat="1" ht="29.4" thickBot="1" x14ac:dyDescent="0.35">
      <c r="A23" s="81" t="s">
        <v>152</v>
      </c>
      <c r="B23" s="83" t="s">
        <v>153</v>
      </c>
      <c r="C23" s="78" t="s">
        <v>154</v>
      </c>
      <c r="D23" s="78" t="s">
        <v>155</v>
      </c>
      <c r="E23" s="78" t="s">
        <v>156</v>
      </c>
      <c r="F23" s="78" t="s">
        <v>157</v>
      </c>
      <c r="G23" s="79" t="s">
        <v>158</v>
      </c>
    </row>
    <row r="24" spans="1:7" x14ac:dyDescent="0.3">
      <c r="A24" s="84" t="s">
        <v>136</v>
      </c>
      <c r="B24" s="85" t="s">
        <v>137</v>
      </c>
      <c r="C24" s="86">
        <v>337</v>
      </c>
      <c r="D24" s="86">
        <v>100</v>
      </c>
      <c r="E24" s="86">
        <v>422</v>
      </c>
      <c r="F24" s="86">
        <v>433</v>
      </c>
      <c r="G24" s="87">
        <v>280</v>
      </c>
    </row>
    <row r="25" spans="1:7" x14ac:dyDescent="0.3">
      <c r="A25" s="10" t="s">
        <v>35</v>
      </c>
      <c r="B25" s="24" t="s">
        <v>138</v>
      </c>
      <c r="C25" s="1">
        <v>465</v>
      </c>
      <c r="D25" s="1">
        <v>138</v>
      </c>
      <c r="E25" s="1">
        <v>581</v>
      </c>
      <c r="F25" s="1">
        <v>597</v>
      </c>
      <c r="G25" s="88">
        <v>386</v>
      </c>
    </row>
    <row r="26" spans="1:7" x14ac:dyDescent="0.3">
      <c r="A26" s="10" t="s">
        <v>36</v>
      </c>
      <c r="B26" s="24" t="s">
        <v>139</v>
      </c>
      <c r="C26" s="1">
        <v>565</v>
      </c>
      <c r="D26" s="1">
        <v>167</v>
      </c>
      <c r="E26" s="1">
        <v>707</v>
      </c>
      <c r="F26" s="1">
        <v>725</v>
      </c>
      <c r="G26" s="88">
        <v>469</v>
      </c>
    </row>
    <row r="27" spans="1:7" x14ac:dyDescent="0.3">
      <c r="A27" s="10" t="s">
        <v>37</v>
      </c>
      <c r="B27" s="24" t="s">
        <v>140</v>
      </c>
      <c r="C27" s="1">
        <v>651</v>
      </c>
      <c r="D27" s="1">
        <v>193</v>
      </c>
      <c r="E27" s="1">
        <v>813</v>
      </c>
      <c r="F27" s="1">
        <v>835</v>
      </c>
      <c r="G27" s="88">
        <v>539</v>
      </c>
    </row>
    <row r="28" spans="1:7" x14ac:dyDescent="0.3">
      <c r="A28" s="10" t="s">
        <v>38</v>
      </c>
      <c r="B28" s="24" t="s">
        <v>141</v>
      </c>
      <c r="C28" s="1">
        <v>717</v>
      </c>
      <c r="D28" s="1">
        <v>212</v>
      </c>
      <c r="E28" s="1">
        <v>897</v>
      </c>
      <c r="F28" s="1">
        <v>920</v>
      </c>
      <c r="G28" s="88">
        <v>595</v>
      </c>
    </row>
    <row r="29" spans="1:7" x14ac:dyDescent="0.3">
      <c r="A29" s="10" t="s">
        <v>39</v>
      </c>
      <c r="B29" s="24" t="s">
        <v>142</v>
      </c>
      <c r="C29" s="1">
        <v>778</v>
      </c>
      <c r="D29" s="1">
        <v>230</v>
      </c>
      <c r="E29" s="1">
        <v>973</v>
      </c>
      <c r="F29" s="1">
        <v>998</v>
      </c>
      <c r="G29" s="88">
        <v>645</v>
      </c>
    </row>
    <row r="30" spans="1:7" x14ac:dyDescent="0.3">
      <c r="A30" s="10" t="s">
        <v>40</v>
      </c>
      <c r="B30" s="24" t="s">
        <v>143</v>
      </c>
      <c r="C30" s="1">
        <v>833</v>
      </c>
      <c r="D30" s="1">
        <v>247</v>
      </c>
      <c r="E30" s="1">
        <v>1041</v>
      </c>
      <c r="F30" s="1">
        <v>1069</v>
      </c>
      <c r="G30" s="88">
        <v>690</v>
      </c>
    </row>
    <row r="31" spans="1:7" x14ac:dyDescent="0.3">
      <c r="A31" s="10" t="s">
        <v>41</v>
      </c>
      <c r="B31" s="24" t="s">
        <v>144</v>
      </c>
      <c r="C31" s="1">
        <v>879</v>
      </c>
      <c r="D31" s="1">
        <v>260</v>
      </c>
      <c r="E31" s="1">
        <v>1098</v>
      </c>
      <c r="F31" s="1">
        <v>1127</v>
      </c>
      <c r="G31" s="88">
        <v>728</v>
      </c>
    </row>
    <row r="32" spans="1:7" x14ac:dyDescent="0.3">
      <c r="A32" s="10" t="s">
        <v>42</v>
      </c>
      <c r="B32" s="24" t="s">
        <v>145</v>
      </c>
      <c r="C32" s="1">
        <v>924</v>
      </c>
      <c r="D32" s="1">
        <v>274</v>
      </c>
      <c r="E32" s="1">
        <v>1155</v>
      </c>
      <c r="F32" s="1">
        <v>1186</v>
      </c>
      <c r="G32" s="88">
        <v>766</v>
      </c>
    </row>
    <row r="33" spans="1:7" x14ac:dyDescent="0.3">
      <c r="A33" s="10" t="s">
        <v>43</v>
      </c>
      <c r="B33" s="24" t="s">
        <v>146</v>
      </c>
      <c r="C33" s="1">
        <v>961</v>
      </c>
      <c r="D33" s="1">
        <v>284</v>
      </c>
      <c r="E33" s="1">
        <v>1201</v>
      </c>
      <c r="F33" s="1">
        <v>1232</v>
      </c>
      <c r="G33" s="88">
        <v>796</v>
      </c>
    </row>
    <row r="34" spans="1:7" x14ac:dyDescent="0.3">
      <c r="A34" s="10" t="s">
        <v>44</v>
      </c>
      <c r="B34" s="24" t="s">
        <v>147</v>
      </c>
      <c r="C34" s="1">
        <v>997</v>
      </c>
      <c r="D34" s="1">
        <v>295</v>
      </c>
      <c r="E34" s="1">
        <v>1246</v>
      </c>
      <c r="F34" s="1">
        <v>1279</v>
      </c>
      <c r="G34" s="88">
        <v>827</v>
      </c>
    </row>
    <row r="35" spans="1:7" x14ac:dyDescent="0.3">
      <c r="A35" s="10" t="s">
        <v>45</v>
      </c>
      <c r="B35" s="24" t="s">
        <v>148</v>
      </c>
      <c r="C35" s="1">
        <v>1031</v>
      </c>
      <c r="D35" s="1">
        <v>305</v>
      </c>
      <c r="E35" s="1">
        <v>1288</v>
      </c>
      <c r="F35" s="1">
        <v>1322</v>
      </c>
      <c r="G35" s="88">
        <v>854</v>
      </c>
    </row>
    <row r="36" spans="1:7" x14ac:dyDescent="0.3">
      <c r="A36" s="10" t="s">
        <v>46</v>
      </c>
      <c r="B36" s="24" t="s">
        <v>149</v>
      </c>
      <c r="C36" s="1">
        <v>1064</v>
      </c>
      <c r="D36" s="1">
        <v>315</v>
      </c>
      <c r="E36" s="1">
        <v>1330</v>
      </c>
      <c r="F36" s="1">
        <v>1365</v>
      </c>
      <c r="G36" s="88">
        <v>882</v>
      </c>
    </row>
    <row r="37" spans="1:7" x14ac:dyDescent="0.3">
      <c r="A37" s="10" t="s">
        <v>47</v>
      </c>
      <c r="B37" s="24" t="s">
        <v>150</v>
      </c>
      <c r="C37" s="1">
        <v>1091</v>
      </c>
      <c r="D37" s="1">
        <v>323</v>
      </c>
      <c r="E37" s="1">
        <v>1364</v>
      </c>
      <c r="F37" s="1">
        <v>1400</v>
      </c>
      <c r="G37" s="88">
        <v>905</v>
      </c>
    </row>
    <row r="38" spans="1:7" ht="15" thickBot="1" x14ac:dyDescent="0.35">
      <c r="A38" s="12" t="s">
        <v>48</v>
      </c>
      <c r="B38" s="80" t="s">
        <v>151</v>
      </c>
      <c r="C38" s="73">
        <v>1119</v>
      </c>
      <c r="D38" s="73">
        <v>331</v>
      </c>
      <c r="E38" s="73">
        <v>1398</v>
      </c>
      <c r="F38" s="73">
        <v>1435</v>
      </c>
      <c r="G38" s="89">
        <v>927</v>
      </c>
    </row>
    <row r="39" spans="1:7" x14ac:dyDescent="0.3">
      <c r="A39" s="93"/>
      <c r="B39" s="94"/>
      <c r="C39" s="95"/>
      <c r="D39" s="95"/>
      <c r="E39" s="95"/>
      <c r="F39" s="95"/>
      <c r="G39" s="95"/>
    </row>
    <row r="40" spans="1:7" x14ac:dyDescent="0.3">
      <c r="A40" s="96"/>
      <c r="B40" s="97"/>
      <c r="C40" s="91"/>
      <c r="D40" s="91"/>
      <c r="E40" s="91"/>
      <c r="F40" s="91"/>
      <c r="G40" s="91"/>
    </row>
    <row r="41" spans="1:7" x14ac:dyDescent="0.3">
      <c r="A41" s="96"/>
      <c r="B41" s="97"/>
      <c r="C41" s="91"/>
      <c r="D41" s="91"/>
      <c r="E41" s="91"/>
      <c r="F41" s="91"/>
      <c r="G41" s="91"/>
    </row>
    <row r="42" spans="1:7" x14ac:dyDescent="0.3">
      <c r="A42" s="96"/>
      <c r="B42" s="97"/>
      <c r="C42" s="91"/>
      <c r="D42" s="91"/>
      <c r="E42" s="91"/>
      <c r="F42" s="91"/>
      <c r="G42" s="91"/>
    </row>
    <row r="43" spans="1:7" x14ac:dyDescent="0.3">
      <c r="A43" s="96"/>
      <c r="B43" s="97"/>
      <c r="C43" s="91"/>
      <c r="D43" s="91"/>
      <c r="E43" s="91"/>
      <c r="F43" s="91"/>
      <c r="G43" s="91"/>
    </row>
    <row r="44" spans="1:7" x14ac:dyDescent="0.3">
      <c r="A44" s="96"/>
      <c r="B44" s="97"/>
      <c r="C44" s="91"/>
      <c r="D44" s="91"/>
      <c r="E44" s="91"/>
      <c r="F44" s="91"/>
      <c r="G44" s="91"/>
    </row>
    <row r="45" spans="1:7" x14ac:dyDescent="0.3">
      <c r="A45" s="96"/>
      <c r="B45" s="97"/>
      <c r="C45" s="91"/>
      <c r="D45" s="91"/>
      <c r="E45" s="91"/>
      <c r="F45" s="91"/>
      <c r="G45" s="91"/>
    </row>
    <row r="46" spans="1:7" x14ac:dyDescent="0.3">
      <c r="A46" s="96"/>
      <c r="B46" s="97"/>
      <c r="C46" s="91"/>
      <c r="D46" s="91"/>
      <c r="E46" s="91"/>
      <c r="F46" s="91"/>
      <c r="G46" s="91"/>
    </row>
    <row r="47" spans="1:7" x14ac:dyDescent="0.3">
      <c r="A47" s="96"/>
      <c r="B47" s="97"/>
      <c r="C47" s="91"/>
      <c r="D47" s="91"/>
      <c r="E47" s="91"/>
      <c r="F47" s="91"/>
      <c r="G47" s="91"/>
    </row>
    <row r="48" spans="1:7" x14ac:dyDescent="0.3">
      <c r="A48" s="96"/>
      <c r="B48" s="97"/>
      <c r="C48" s="91"/>
      <c r="D48" s="91"/>
      <c r="E48" s="91"/>
      <c r="F48" s="91"/>
      <c r="G48" s="91"/>
    </row>
    <row r="49" spans="1:7" x14ac:dyDescent="0.3">
      <c r="A49" s="96"/>
      <c r="B49" s="97"/>
      <c r="C49" s="91"/>
      <c r="D49" s="91"/>
      <c r="E49" s="91"/>
      <c r="F49" s="91"/>
      <c r="G49" s="91"/>
    </row>
    <row r="50" spans="1:7" x14ac:dyDescent="0.3">
      <c r="A50" s="96"/>
      <c r="B50" s="97"/>
      <c r="C50" s="91"/>
      <c r="D50" s="91"/>
      <c r="E50" s="91"/>
      <c r="F50" s="91"/>
      <c r="G50" s="91"/>
    </row>
    <row r="51" spans="1:7" x14ac:dyDescent="0.3">
      <c r="A51" s="96"/>
      <c r="B51" s="97"/>
      <c r="C51" s="91"/>
      <c r="D51" s="91"/>
      <c r="E51" s="91"/>
      <c r="F51" s="91"/>
      <c r="G51" s="91"/>
    </row>
    <row r="52" spans="1:7" x14ac:dyDescent="0.3">
      <c r="A52" s="96"/>
      <c r="B52" s="97"/>
      <c r="C52" s="91"/>
      <c r="D52" s="91"/>
      <c r="E52" s="91"/>
      <c r="F52" s="91"/>
      <c r="G52" s="91"/>
    </row>
    <row r="53" spans="1:7" x14ac:dyDescent="0.3">
      <c r="A53" s="96"/>
      <c r="B53" s="97"/>
      <c r="C53" s="91"/>
      <c r="D53" s="91"/>
      <c r="E53" s="91"/>
      <c r="F53" s="91"/>
      <c r="G53" s="91"/>
    </row>
    <row r="54" spans="1:7" x14ac:dyDescent="0.3">
      <c r="A54" s="96"/>
      <c r="B54" s="97"/>
      <c r="C54" s="91"/>
      <c r="D54" s="91"/>
      <c r="E54" s="91"/>
      <c r="F54" s="91"/>
      <c r="G54" s="91"/>
    </row>
    <row r="56" spans="1:7" x14ac:dyDescent="0.3">
      <c r="A56" s="26" t="s">
        <v>18</v>
      </c>
    </row>
    <row r="57" spans="1:7" x14ac:dyDescent="0.3">
      <c r="A57" t="s">
        <v>159</v>
      </c>
    </row>
    <row r="58" spans="1:7" x14ac:dyDescent="0.3">
      <c r="A58" t="s">
        <v>22</v>
      </c>
    </row>
    <row r="59" spans="1:7" x14ac:dyDescent="0.3">
      <c r="A59" t="s">
        <v>23</v>
      </c>
    </row>
    <row r="60" spans="1:7" x14ac:dyDescent="0.3">
      <c r="A60" t="s">
        <v>24</v>
      </c>
    </row>
    <row r="61" spans="1:7" x14ac:dyDescent="0.3">
      <c r="A61" t="s">
        <v>25</v>
      </c>
    </row>
    <row r="62" spans="1:7" x14ac:dyDescent="0.3">
      <c r="A62" t="s">
        <v>160</v>
      </c>
    </row>
    <row r="64" spans="1:7" x14ac:dyDescent="0.3">
      <c r="A64" s="26" t="s">
        <v>161</v>
      </c>
      <c r="B64" s="26" t="s">
        <v>162</v>
      </c>
    </row>
    <row r="65" spans="1:3" x14ac:dyDescent="0.3">
      <c r="A65" t="s">
        <v>100</v>
      </c>
      <c r="B65" s="27">
        <v>3.2000000000000001E-2</v>
      </c>
    </row>
    <row r="66" spans="1:3" x14ac:dyDescent="0.3">
      <c r="A66" t="s">
        <v>163</v>
      </c>
    </row>
    <row r="68" spans="1:3" x14ac:dyDescent="0.3">
      <c r="A68" s="26" t="s">
        <v>135</v>
      </c>
    </row>
    <row r="69" spans="1:3" x14ac:dyDescent="0.3">
      <c r="A69" t="s">
        <v>100</v>
      </c>
    </row>
    <row r="70" spans="1:3" x14ac:dyDescent="0.3">
      <c r="A70" t="s">
        <v>163</v>
      </c>
    </row>
    <row r="72" spans="1:3" x14ac:dyDescent="0.3">
      <c r="A72" s="26" t="s">
        <v>164</v>
      </c>
    </row>
    <row r="73" spans="1:3" x14ac:dyDescent="0.3">
      <c r="A73" t="s">
        <v>154</v>
      </c>
    </row>
    <row r="74" spans="1:3" x14ac:dyDescent="0.3">
      <c r="A74" t="s">
        <v>155</v>
      </c>
    </row>
    <row r="75" spans="1:3" x14ac:dyDescent="0.3">
      <c r="A75" t="s">
        <v>156</v>
      </c>
    </row>
    <row r="76" spans="1:3" x14ac:dyDescent="0.3">
      <c r="A76" t="s">
        <v>157</v>
      </c>
    </row>
    <row r="77" spans="1:3" x14ac:dyDescent="0.3">
      <c r="A77" t="s">
        <v>158</v>
      </c>
    </row>
    <row r="79" spans="1:3" x14ac:dyDescent="0.3">
      <c r="A79" s="4" t="s">
        <v>165</v>
      </c>
      <c r="B79" s="4" t="s">
        <v>166</v>
      </c>
      <c r="C79" s="24"/>
    </row>
    <row r="80" spans="1:3" x14ac:dyDescent="0.3">
      <c r="A80">
        <v>1</v>
      </c>
      <c r="B80" s="25">
        <v>750</v>
      </c>
      <c r="C80" s="24" t="s">
        <v>137</v>
      </c>
    </row>
    <row r="81" spans="1:3" x14ac:dyDescent="0.3">
      <c r="A81">
        <v>751</v>
      </c>
      <c r="B81" s="25">
        <v>1000</v>
      </c>
      <c r="C81" s="24" t="s">
        <v>138</v>
      </c>
    </row>
    <row r="82" spans="1:3" x14ac:dyDescent="0.3">
      <c r="A82">
        <v>1001</v>
      </c>
      <c r="B82" s="25">
        <v>1250</v>
      </c>
      <c r="C82" s="24" t="s">
        <v>139</v>
      </c>
    </row>
    <row r="83" spans="1:3" x14ac:dyDescent="0.3">
      <c r="A83">
        <v>1251</v>
      </c>
      <c r="B83" s="25">
        <v>1500</v>
      </c>
      <c r="C83" s="24" t="s">
        <v>140</v>
      </c>
    </row>
    <row r="84" spans="1:3" x14ac:dyDescent="0.3">
      <c r="A84">
        <v>1501</v>
      </c>
      <c r="B84" s="25">
        <v>1750</v>
      </c>
      <c r="C84" s="24" t="s">
        <v>141</v>
      </c>
    </row>
    <row r="85" spans="1:3" x14ac:dyDescent="0.3">
      <c r="A85">
        <v>1751</v>
      </c>
      <c r="B85" s="25">
        <v>2000</v>
      </c>
      <c r="C85" s="24" t="s">
        <v>142</v>
      </c>
    </row>
    <row r="86" spans="1:3" x14ac:dyDescent="0.3">
      <c r="A86">
        <v>2001</v>
      </c>
      <c r="B86" s="25">
        <v>2250</v>
      </c>
      <c r="C86" s="24" t="s">
        <v>143</v>
      </c>
    </row>
    <row r="87" spans="1:3" x14ac:dyDescent="0.3">
      <c r="A87">
        <v>2251</v>
      </c>
      <c r="B87" s="25">
        <v>2500</v>
      </c>
      <c r="C87" s="24" t="s">
        <v>144</v>
      </c>
    </row>
    <row r="88" spans="1:3" x14ac:dyDescent="0.3">
      <c r="A88">
        <v>2501</v>
      </c>
      <c r="B88" s="25">
        <v>2750</v>
      </c>
      <c r="C88" s="24" t="s">
        <v>145</v>
      </c>
    </row>
    <row r="89" spans="1:3" x14ac:dyDescent="0.3">
      <c r="A89">
        <v>2751</v>
      </c>
      <c r="B89" s="25">
        <v>3000</v>
      </c>
      <c r="C89" s="24" t="s">
        <v>146</v>
      </c>
    </row>
    <row r="90" spans="1:3" x14ac:dyDescent="0.3">
      <c r="A90">
        <v>3001</v>
      </c>
      <c r="B90" s="25">
        <v>3250</v>
      </c>
      <c r="C90" s="24" t="s">
        <v>147</v>
      </c>
    </row>
    <row r="91" spans="1:3" x14ac:dyDescent="0.3">
      <c r="A91">
        <v>3251</v>
      </c>
      <c r="B91" s="25">
        <v>3500</v>
      </c>
      <c r="C91" s="24" t="s">
        <v>148</v>
      </c>
    </row>
    <row r="92" spans="1:3" x14ac:dyDescent="0.3">
      <c r="A92">
        <v>3501</v>
      </c>
      <c r="B92" s="25">
        <v>3750</v>
      </c>
      <c r="C92" s="24" t="s">
        <v>149</v>
      </c>
    </row>
    <row r="93" spans="1:3" x14ac:dyDescent="0.3">
      <c r="A93">
        <v>3751</v>
      </c>
      <c r="B93" s="25">
        <v>4000</v>
      </c>
      <c r="C93" s="24" t="s">
        <v>150</v>
      </c>
    </row>
    <row r="94" spans="1:3" x14ac:dyDescent="0.3">
      <c r="A94">
        <v>4001</v>
      </c>
      <c r="B94" s="25">
        <v>1000000</v>
      </c>
      <c r="C94" s="24" t="s">
        <v>151</v>
      </c>
    </row>
  </sheetData>
  <sheetProtection algorithmName="SHA-512" hashValue="PruYwyzqsQDj+EebUIcZVVjbqU1ATZ5VV/urDp4+9KiSH7xJgDxKaPRRytABOyQCxvAu+5AWIKjrUKNVKRTqZg==" saltValue="rmmdqOcleFIzlmTdgk31I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505A-8704-46B7-8F50-8F92CCCCA780}">
  <dimension ref="A1:J32"/>
  <sheetViews>
    <sheetView workbookViewId="0">
      <selection activeCell="A31" sqref="A31"/>
    </sheetView>
  </sheetViews>
  <sheetFormatPr defaultRowHeight="14.4" x14ac:dyDescent="0.3"/>
  <cols>
    <col min="1" max="1" width="25.88671875" customWidth="1"/>
    <col min="2" max="2" width="22" customWidth="1"/>
    <col min="3" max="3" width="15.109375" customWidth="1"/>
    <col min="4" max="4" width="25.44140625" customWidth="1"/>
    <col min="5" max="5" width="18.6640625" customWidth="1"/>
    <col min="6" max="6" width="17.6640625" customWidth="1"/>
    <col min="7" max="7" width="20.33203125" customWidth="1"/>
    <col min="8" max="8" width="15.6640625" customWidth="1"/>
    <col min="9" max="9" width="12.109375" customWidth="1"/>
    <col min="10" max="10" width="12.33203125" customWidth="1"/>
  </cols>
  <sheetData>
    <row r="1" spans="1:10" s="48" customFormat="1" ht="33" customHeight="1" thickBot="1" x14ac:dyDescent="0.35">
      <c r="A1" s="249" t="s">
        <v>167</v>
      </c>
      <c r="B1" s="250"/>
      <c r="C1" s="250"/>
      <c r="D1" s="250"/>
      <c r="E1" s="250"/>
      <c r="F1" s="251"/>
    </row>
    <row r="2" spans="1:10" s="48" customFormat="1" ht="15" thickBot="1" x14ac:dyDescent="0.35">
      <c r="A2" s="156"/>
      <c r="B2" s="156"/>
      <c r="C2" s="156"/>
      <c r="D2" s="156"/>
      <c r="E2" s="156"/>
      <c r="F2" s="156"/>
    </row>
    <row r="3" spans="1:10" ht="29.4" thickBot="1" x14ac:dyDescent="0.35">
      <c r="A3" s="149" t="s">
        <v>168</v>
      </c>
      <c r="B3" s="142" t="s">
        <v>169</v>
      </c>
      <c r="C3" s="143" t="s">
        <v>59</v>
      </c>
      <c r="D3" s="149" t="s">
        <v>170</v>
      </c>
      <c r="E3" s="142" t="s">
        <v>171</v>
      </c>
      <c r="F3" s="143" t="s">
        <v>59</v>
      </c>
      <c r="H3" s="50"/>
      <c r="I3" s="50"/>
      <c r="J3" s="50"/>
    </row>
    <row r="4" spans="1:10" ht="29.25" customHeight="1" x14ac:dyDescent="0.3">
      <c r="A4" s="134" t="s">
        <v>172</v>
      </c>
      <c r="B4" s="152">
        <f>IFERROR(IF(Estimator!$C$35="Yes", Estimator!$C$36, 0),0)</f>
        <v>0</v>
      </c>
      <c r="C4" s="135">
        <f>IFERROR(_xlfn.XLOOKUP($B$4, $A$17:$A$22, $B$17:$B$22, 0), 0)</f>
        <v>0</v>
      </c>
      <c r="D4" s="134" t="s">
        <v>172</v>
      </c>
      <c r="E4" s="152">
        <f>IFERROR(IF(Estimator!$C$35="Yes", Estimator!$C$38, 0),0)</f>
        <v>0</v>
      </c>
      <c r="F4" s="135">
        <f>IFERROR(_xlfn.XLOOKUP($E$4, $A$26:$A$31, $B$26:$B$31, 0), 0)</f>
        <v>0</v>
      </c>
      <c r="H4" s="1"/>
      <c r="I4" s="1"/>
      <c r="J4" s="1"/>
    </row>
    <row r="5" spans="1:10" ht="28.8" x14ac:dyDescent="0.3">
      <c r="A5" s="134" t="s">
        <v>173</v>
      </c>
      <c r="B5" s="152">
        <f>IFERROR(IF(Estimator!$C$35="Yes", Estimator!$C$37, 0),0)</f>
        <v>0</v>
      </c>
      <c r="C5" s="135">
        <f>IFERROR(_xlfn.XLOOKUP($B$5, $A$17:$A$22, $B$17:$B$22, 0), 0)</f>
        <v>0</v>
      </c>
      <c r="D5" s="134" t="s">
        <v>173</v>
      </c>
      <c r="E5" s="152">
        <f>IFERROR(IF(Estimator!$C$35="Yes", Estimator!$C$39, 0),0)</f>
        <v>0</v>
      </c>
      <c r="F5" s="135">
        <f>IFERROR(_xlfn.XLOOKUP($E$5, $A$26:$A$31, $B$26:$B$31, 0), 0)</f>
        <v>0</v>
      </c>
      <c r="H5" s="1"/>
      <c r="I5" s="1"/>
      <c r="J5" s="1"/>
    </row>
    <row r="6" spans="1:10" ht="15" thickBot="1" x14ac:dyDescent="0.35">
      <c r="A6" s="136" t="s">
        <v>174</v>
      </c>
      <c r="B6" s="137"/>
      <c r="C6" s="138">
        <f>IFERROR(IF($C$4-$C$5&lt;0,0,$C$4-$C$5),0)</f>
        <v>0</v>
      </c>
      <c r="D6" s="150" t="s">
        <v>174</v>
      </c>
      <c r="E6" s="137"/>
      <c r="F6" s="138">
        <f>IFERROR(IF($F$4-$F$5&lt;0,0,$F$4-$F$5),0)</f>
        <v>0</v>
      </c>
      <c r="H6" s="1"/>
      <c r="I6" s="1"/>
      <c r="J6" s="1"/>
    </row>
    <row r="7" spans="1:10" ht="15" thickBot="1" x14ac:dyDescent="0.35">
      <c r="A7" s="139" t="s">
        <v>19</v>
      </c>
      <c r="B7" s="140"/>
      <c r="C7" s="141">
        <f>$C$6</f>
        <v>0</v>
      </c>
      <c r="D7" s="151"/>
      <c r="E7" s="140"/>
      <c r="F7" s="141">
        <f>$F$6</f>
        <v>0</v>
      </c>
      <c r="H7" s="1"/>
      <c r="I7" s="1"/>
      <c r="J7" s="1"/>
    </row>
    <row r="10" spans="1:10" ht="15" thickBot="1" x14ac:dyDescent="0.35">
      <c r="A10" s="144" t="s">
        <v>175</v>
      </c>
      <c r="B10" s="72"/>
      <c r="C10" s="72"/>
      <c r="D10" s="72"/>
      <c r="E10" s="72"/>
      <c r="F10" s="72"/>
    </row>
    <row r="11" spans="1:10" x14ac:dyDescent="0.3">
      <c r="A11" s="26" t="s">
        <v>176</v>
      </c>
    </row>
    <row r="12" spans="1:10" x14ac:dyDescent="0.3">
      <c r="A12" t="s">
        <v>100</v>
      </c>
    </row>
    <row r="13" spans="1:10" x14ac:dyDescent="0.3">
      <c r="A13" t="s">
        <v>163</v>
      </c>
    </row>
    <row r="14" spans="1:10" ht="15" thickBot="1" x14ac:dyDescent="0.35"/>
    <row r="15" spans="1:10" s="48" customFormat="1" ht="27.75" customHeight="1" thickBot="1" x14ac:dyDescent="0.35">
      <c r="A15" s="245" t="s">
        <v>177</v>
      </c>
      <c r="B15" s="246"/>
    </row>
    <row r="16" spans="1:10" s="48" customFormat="1" ht="28.8" x14ac:dyDescent="0.3">
      <c r="A16" s="154" t="s">
        <v>178</v>
      </c>
      <c r="B16" s="155" t="s">
        <v>59</v>
      </c>
    </row>
    <row r="17" spans="1:4" x14ac:dyDescent="0.3">
      <c r="A17" s="145" t="s">
        <v>62</v>
      </c>
      <c r="B17" s="146">
        <v>7888</v>
      </c>
    </row>
    <row r="18" spans="1:4" x14ac:dyDescent="0.3">
      <c r="A18" s="145" t="s">
        <v>63</v>
      </c>
      <c r="B18" s="146">
        <v>7888</v>
      </c>
    </row>
    <row r="19" spans="1:4" x14ac:dyDescent="0.3">
      <c r="A19" s="145" t="s">
        <v>64</v>
      </c>
      <c r="B19" s="146">
        <v>14185</v>
      </c>
    </row>
    <row r="20" spans="1:4" x14ac:dyDescent="0.3">
      <c r="A20" s="145" t="s">
        <v>65</v>
      </c>
      <c r="B20" s="146">
        <v>22913</v>
      </c>
    </row>
    <row r="21" spans="1:4" x14ac:dyDescent="0.3">
      <c r="A21" s="145" t="s">
        <v>66</v>
      </c>
      <c r="B21" s="146">
        <v>48829</v>
      </c>
    </row>
    <row r="22" spans="1:4" ht="15" thickBot="1" x14ac:dyDescent="0.35">
      <c r="A22" s="175" t="s">
        <v>179</v>
      </c>
      <c r="B22" s="176" t="s">
        <v>180</v>
      </c>
    </row>
    <row r="23" spans="1:4" ht="28.5" customHeight="1" thickBot="1" x14ac:dyDescent="0.35">
      <c r="A23" s="247" t="s">
        <v>181</v>
      </c>
      <c r="B23" s="248"/>
    </row>
    <row r="24" spans="1:4" ht="15" thickBot="1" x14ac:dyDescent="0.35">
      <c r="A24" s="145"/>
      <c r="B24" s="99"/>
    </row>
    <row r="25" spans="1:4" s="48" customFormat="1" ht="28.8" x14ac:dyDescent="0.3">
      <c r="A25" s="154" t="s">
        <v>182</v>
      </c>
      <c r="B25" s="155" t="s">
        <v>59</v>
      </c>
    </row>
    <row r="26" spans="1:4" x14ac:dyDescent="0.3">
      <c r="A26" s="145" t="s">
        <v>62</v>
      </c>
      <c r="B26" s="146">
        <v>9629</v>
      </c>
      <c r="D26" s="165"/>
    </row>
    <row r="27" spans="1:4" x14ac:dyDescent="0.3">
      <c r="A27" s="145" t="s">
        <v>63</v>
      </c>
      <c r="B27" s="146">
        <v>9629</v>
      </c>
      <c r="D27" s="165"/>
    </row>
    <row r="28" spans="1:4" x14ac:dyDescent="0.3">
      <c r="A28" s="145" t="s">
        <v>64</v>
      </c>
      <c r="B28" s="146">
        <v>17316</v>
      </c>
      <c r="D28" s="165"/>
    </row>
    <row r="29" spans="1:4" x14ac:dyDescent="0.3">
      <c r="A29" s="145" t="s">
        <v>65</v>
      </c>
      <c r="B29" s="146">
        <v>27970</v>
      </c>
      <c r="D29" s="165"/>
    </row>
    <row r="30" spans="1:4" x14ac:dyDescent="0.3">
      <c r="A30" s="145" t="s">
        <v>66</v>
      </c>
      <c r="B30" s="146">
        <v>59605</v>
      </c>
      <c r="D30" s="165"/>
    </row>
    <row r="31" spans="1:4" x14ac:dyDescent="0.3">
      <c r="A31" s="153" t="s">
        <v>179</v>
      </c>
      <c r="B31" s="164" t="s">
        <v>180</v>
      </c>
    </row>
    <row r="32" spans="1:4" s="48" customFormat="1" ht="37.5" customHeight="1" thickBot="1" x14ac:dyDescent="0.35">
      <c r="A32" s="247" t="s">
        <v>183</v>
      </c>
      <c r="B32" s="248"/>
    </row>
  </sheetData>
  <sheetProtection algorithmName="SHA-512" hashValue="6wVm70+E3l2gcqCr/LghU+qfs95shcMjEgv+4YsSBG7NJGOGmWK5guBGLfYMsCgF7RcgxnSGnhvDnVGClBY0QQ==" saltValue="yD5uEDOBOmQ8Njg8Eh8yVg==" spinCount="100000" sheet="1" objects="1" scenarios="1"/>
  <mergeCells count="4">
    <mergeCell ref="A15:B15"/>
    <mergeCell ref="A32:B32"/>
    <mergeCell ref="A23:B23"/>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C996860C5E504E9EF76FD91E5E04E7" ma:contentTypeVersion="11" ma:contentTypeDescription="Create a new document." ma:contentTypeScope="" ma:versionID="91db89745edd2f0eb6aa9ca0ee5b587a">
  <xsd:schema xmlns:xsd="http://www.w3.org/2001/XMLSchema" xmlns:xs="http://www.w3.org/2001/XMLSchema" xmlns:p="http://schemas.microsoft.com/office/2006/metadata/properties" xmlns:ns2="9e9c67f1-7053-4ed5-b85a-2186d0d624e7" xmlns:ns3="06fa8664-7bdd-4719-a8ba-f9d5f998164f" targetNamespace="http://schemas.microsoft.com/office/2006/metadata/properties" ma:root="true" ma:fieldsID="4752a91f263ddad457b11466179d7ee0" ns2:_="" ns3:_="">
    <xsd:import namespace="9e9c67f1-7053-4ed5-b85a-2186d0d624e7"/>
    <xsd:import namespace="06fa8664-7bdd-4719-a8ba-f9d5f998164f"/>
    <xsd:element name="properties">
      <xsd:complexType>
        <xsd:sequence>
          <xsd:element name="documentManagement">
            <xsd:complexType>
              <xsd:all>
                <xsd:element ref="ns2:Notes"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9c67f1-7053-4ed5-b85a-2186d0d624e7"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e8f95e1-b47f-4030-a8fa-ecc0ae1b65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fa8664-7bdd-4719-a8ba-f9d5f998164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86e3c05-8b1a-4efd-b802-bda6b7a11617}" ma:internalName="TaxCatchAll" ma:showField="CatchAllData" ma:web="06fa8664-7bdd-4719-a8ba-f9d5f99816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9e9c67f1-7053-4ed5-b85a-2186d0d624e7">In accordance with Resolution 2026-050 (which incorporates Lolo Sewer &amp; Water Resolution 2026-014).</Notes>
    <TaxCatchAll xmlns="06fa8664-7bdd-4719-a8ba-f9d5f998164f" xsi:nil="true"/>
    <lcf76f155ced4ddcb4097134ff3c332f xmlns="9e9c67f1-7053-4ed5-b85a-2186d0d624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B4B7B-679A-40C0-945B-2D0777222C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9c67f1-7053-4ed5-b85a-2186d0d624e7"/>
    <ds:schemaRef ds:uri="06fa8664-7bdd-4719-a8ba-f9d5f9981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977DE2-CE8D-4774-A941-AA3F3D21B328}">
  <ds:schemaRefs>
    <ds:schemaRef ds:uri="http://schemas.microsoft.com/sharepoint/v3/contenttype/forms"/>
  </ds:schemaRefs>
</ds:datastoreItem>
</file>

<file path=customXml/itemProps3.xml><?xml version="1.0" encoding="utf-8"?>
<ds:datastoreItem xmlns:ds="http://schemas.openxmlformats.org/officeDocument/2006/customXml" ds:itemID="{86118DB5-C7B0-4D38-BD53-A8E6DB0BBE76}">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06fa8664-7bdd-4719-a8ba-f9d5f998164f"/>
    <ds:schemaRef ds:uri="9e9c67f1-7053-4ed5-b85a-2186d0d624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Schedule</vt:lpstr>
      <vt:lpstr>Estimator</vt:lpstr>
      <vt:lpstr>Math</vt:lpstr>
      <vt:lpstr>Combined</vt:lpstr>
      <vt:lpstr>List</vt:lpstr>
      <vt:lpstr>Lolo W&amp;S</vt:lpstr>
      <vt:lpstr>Category</vt:lpstr>
    </vt:vector>
  </TitlesOfParts>
  <Manager/>
  <Company>Missoula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Flanna McLarty</dc:creator>
  <cp:keywords/>
  <dc:description/>
  <cp:lastModifiedBy>Jill Johnson</cp:lastModifiedBy>
  <cp:revision/>
  <dcterms:created xsi:type="dcterms:W3CDTF">2023-12-20T22:38:42Z</dcterms:created>
  <dcterms:modified xsi:type="dcterms:W3CDTF">2026-04-08T22:10:35Z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0x010100E2C996860C5E504E9EF76FD91E5E04E7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Note">
    <vt:lpwstr>1/22/26 JJ. Updated schedules as of 10/1 and 12/18/25 in Res 2025-105, PLUS updates to Non-Residential Fees per 1,000 sq ft and adding Lolo W&amp;S.</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